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codeName="{8C4F1C90-05EB-6A55-5F09-09C24B55AC0B}"/>
  <workbookPr codeName="ThisWorkbook" defaultThemeVersion="124226"/>
  <bookViews>
    <workbookView xWindow="480" yWindow="240" windowWidth="18720" windowHeight="11445"/>
  </bookViews>
  <sheets>
    <sheet name="keuze" sheetId="2" r:id="rId1"/>
    <sheet name="Flex" sheetId="1" r:id="rId2"/>
    <sheet name="Perfo" sheetId="4" r:id="rId3"/>
  </sheets>
  <definedNames>
    <definedName name="_xlnm.Print_Area" localSheetId="1">Flex!$A$1:$AA$29</definedName>
    <definedName name="_xlnm.Print_Area" localSheetId="0">keuze!$A$1:$AA$37</definedName>
    <definedName name="_xlnm.Print_Area" localSheetId="2">Perfo!$A$1:$AA$29</definedName>
  </definedNames>
  <calcPr calcId="145621" calcOnSave="0"/>
</workbook>
</file>

<file path=xl/calcChain.xml><?xml version="1.0" encoding="utf-8"?>
<calcChain xmlns="http://schemas.openxmlformats.org/spreadsheetml/2006/main">
  <c r="B6" i="4" l="1"/>
  <c r="B6" i="1"/>
  <c r="U7" i="1"/>
  <c r="W7" i="1"/>
  <c r="W15" i="4" l="1"/>
  <c r="T15" i="4"/>
  <c r="T12" i="1" l="1"/>
  <c r="T11" i="1"/>
  <c r="T11" i="4"/>
  <c r="U15" i="4"/>
  <c r="A46" i="2" l="1"/>
  <c r="A47" i="2" s="1"/>
  <c r="I7" i="2" s="1"/>
  <c r="I10" i="2" l="1"/>
  <c r="I8" i="2"/>
  <c r="I9" i="2"/>
  <c r="M13" i="1"/>
  <c r="M13" i="4"/>
  <c r="AB50" i="4" l="1"/>
  <c r="T10" i="4" s="1"/>
  <c r="AB48" i="1"/>
  <c r="T10" i="1" s="1"/>
  <c r="C8" i="4" l="1"/>
  <c r="J12" i="4"/>
  <c r="G12" i="4"/>
  <c r="G8" i="4"/>
  <c r="W5" i="4"/>
  <c r="B4" i="4"/>
  <c r="U5" i="4" s="1"/>
  <c r="C12" i="4" l="1"/>
  <c r="P12" i="4" s="1"/>
  <c r="U7" i="4"/>
  <c r="W7" i="4"/>
  <c r="W5" i="1"/>
  <c r="J12" i="1"/>
  <c r="G12" i="1"/>
  <c r="G8" i="1"/>
  <c r="C12" i="1"/>
  <c r="C8" i="1"/>
  <c r="B4" i="1"/>
  <c r="U5" i="1" s="1"/>
  <c r="R12" i="4" l="1"/>
  <c r="AE57" i="4" s="1"/>
  <c r="AM74" i="1"/>
  <c r="AM72" i="1"/>
  <c r="AE61" i="4"/>
  <c r="P12" i="1"/>
  <c r="R12" i="1"/>
  <c r="AE60" i="4" l="1"/>
  <c r="Y60" i="4"/>
  <c r="Y55" i="4"/>
  <c r="X55" i="4" s="1"/>
  <c r="Y56" i="4"/>
  <c r="X56" i="4" s="1"/>
  <c r="Y59" i="4"/>
  <c r="AE55" i="4"/>
  <c r="AD55" i="4" s="1"/>
  <c r="AE58" i="4"/>
  <c r="Y64" i="4"/>
  <c r="X64" i="4" s="1"/>
  <c r="AE56" i="4"/>
  <c r="AD56" i="4" s="1"/>
  <c r="AD57" i="4" s="1"/>
  <c r="Y58" i="4"/>
  <c r="Y62" i="4"/>
  <c r="AE59" i="4"/>
  <c r="AE64" i="4"/>
  <c r="AE62" i="4"/>
  <c r="AD62" i="4" s="1"/>
  <c r="Y61" i="4"/>
  <c r="Y57" i="4"/>
  <c r="X57" i="4" s="1"/>
  <c r="Y63" i="4"/>
  <c r="X63" i="4" s="1"/>
  <c r="AE63" i="4"/>
  <c r="AD63" i="4" s="1"/>
  <c r="AD58" i="4"/>
  <c r="X65" i="1"/>
  <c r="AE53" i="1"/>
  <c r="AD53" i="1" s="1"/>
  <c r="AE61" i="1"/>
  <c r="AE57" i="1"/>
  <c r="AE59" i="1"/>
  <c r="AE55" i="1"/>
  <c r="AE62" i="1"/>
  <c r="AE58" i="1"/>
  <c r="AE60" i="1"/>
  <c r="AE56" i="1"/>
  <c r="AE54" i="1"/>
  <c r="X64" i="1"/>
  <c r="X60" i="1"/>
  <c r="X56" i="1"/>
  <c r="X63" i="1"/>
  <c r="X59" i="1"/>
  <c r="X55" i="1"/>
  <c r="X62" i="1"/>
  <c r="X58" i="1"/>
  <c r="X54" i="1"/>
  <c r="X61" i="1"/>
  <c r="X57" i="1"/>
  <c r="X53" i="1"/>
  <c r="X59" i="4" l="1"/>
  <c r="Y74" i="4" s="1"/>
  <c r="AE69" i="4"/>
  <c r="X60" i="4"/>
  <c r="X61" i="4" s="1"/>
  <c r="X62" i="4" s="1"/>
  <c r="X58" i="4"/>
  <c r="Y69" i="4"/>
  <c r="AD59" i="4"/>
  <c r="AD60" i="4" s="1"/>
  <c r="AD61" i="4" s="1"/>
  <c r="AD64" i="4"/>
  <c r="AD54" i="1"/>
  <c r="AD55" i="1" s="1"/>
  <c r="AD56" i="1" s="1"/>
  <c r="AD57" i="1" s="1"/>
  <c r="AD58" i="1" s="1"/>
  <c r="AD59" i="1" s="1"/>
  <c r="AD60" i="1" s="1"/>
  <c r="AD61" i="1" s="1"/>
  <c r="AG74" i="4"/>
  <c r="AE67" i="1"/>
  <c r="W53" i="1"/>
  <c r="X67" i="1"/>
  <c r="U48" i="1" s="1"/>
  <c r="Y75" i="4" l="1"/>
  <c r="AE74" i="4"/>
  <c r="AE75" i="4" s="1"/>
  <c r="U12" i="4" s="1"/>
  <c r="AA74" i="4"/>
  <c r="AA76" i="4"/>
  <c r="Y76" i="4"/>
  <c r="AE76" i="4"/>
  <c r="U13" i="4" s="1"/>
  <c r="W11" i="4"/>
  <c r="AG76" i="4"/>
  <c r="W13" i="4"/>
  <c r="X74" i="1"/>
  <c r="T15" i="1"/>
  <c r="T14" i="1"/>
  <c r="U11" i="4"/>
  <c r="AD62" i="1"/>
  <c r="AG74" i="1" s="1"/>
  <c r="W54" i="1"/>
  <c r="AG72" i="1" l="1"/>
  <c r="AE74" i="1"/>
  <c r="AE72" i="1"/>
  <c r="AE73" i="1" s="1"/>
  <c r="W55" i="1"/>
  <c r="W56" i="1" l="1"/>
  <c r="W57" i="1" s="1"/>
  <c r="W58" i="1" s="1"/>
  <c r="W59" i="1" s="1"/>
  <c r="W60" i="1" s="1"/>
  <c r="W61" i="1" s="1"/>
  <c r="W62" i="1" s="1"/>
  <c r="W63" i="1" s="1"/>
  <c r="W64" i="1" s="1"/>
  <c r="W65" i="1" s="1"/>
  <c r="AA74" i="1" l="1"/>
  <c r="W14" i="1" s="1"/>
  <c r="AC74" i="1"/>
  <c r="AK74" i="1" s="1"/>
  <c r="AO74" i="1" s="1"/>
  <c r="AS57" i="1" s="1"/>
  <c r="AS56" i="1" s="1"/>
  <c r="AS55" i="1" s="1"/>
  <c r="AS54" i="1" s="1"/>
  <c r="AS53" i="1" s="1"/>
  <c r="AC72" i="1"/>
  <c r="AK72" i="1" s="1"/>
  <c r="AO72" i="1" s="1"/>
  <c r="Y74" i="1"/>
  <c r="U14" i="1" s="1"/>
  <c r="Y72" i="1"/>
  <c r="U11" i="1" s="1"/>
  <c r="AA72" i="1"/>
  <c r="W11" i="1" s="1"/>
  <c r="AS60" i="1" l="1"/>
  <c r="AU63" i="1"/>
  <c r="AS63" i="1"/>
  <c r="AR49" i="1"/>
  <c r="AS49" i="1"/>
  <c r="AK57" i="1"/>
  <c r="AK56" i="1" s="1"/>
  <c r="AK55" i="1" s="1"/>
  <c r="Y73" i="1"/>
  <c r="U13" i="1" l="1"/>
  <c r="AK54" i="1"/>
  <c r="AK53" i="1" s="1"/>
  <c r="U15" i="1" l="1"/>
  <c r="W15" i="1"/>
  <c r="AM63" i="1"/>
  <c r="W12" i="1" s="1"/>
  <c r="AK63" i="1"/>
  <c r="AK60" i="1"/>
  <c r="U12" i="1" l="1"/>
</calcChain>
</file>

<file path=xl/comments1.xml><?xml version="1.0" encoding="utf-8"?>
<comments xmlns="http://schemas.openxmlformats.org/spreadsheetml/2006/main">
  <authors>
    <author>H. van Vliet</author>
  </authors>
  <commentList>
    <comment ref="J8" authorId="0">
      <text>
        <r>
          <rPr>
            <b/>
            <sz val="9"/>
            <color indexed="81"/>
            <rFont val="Tahoma"/>
            <family val="2"/>
          </rPr>
          <t xml:space="preserve">
</t>
        </r>
        <r>
          <rPr>
            <sz val="9"/>
            <color indexed="81"/>
            <rFont val="Tahoma"/>
            <family val="2"/>
          </rPr>
          <t xml:space="preserve">  hier hoeft u niets in te vullen.</t>
        </r>
        <r>
          <rPr>
            <b/>
            <sz val="9"/>
            <color indexed="81"/>
            <rFont val="Tahoma"/>
            <family val="2"/>
          </rPr>
          <t xml:space="preserve">
</t>
        </r>
      </text>
    </comment>
    <comment ref="K8" authorId="0">
      <text>
        <r>
          <rPr>
            <sz val="9"/>
            <color indexed="81"/>
            <rFont val="Tahoma"/>
            <family val="2"/>
          </rPr>
          <t xml:space="preserve">
  hier hoeft u niets in te vullen.</t>
        </r>
      </text>
    </comment>
  </commentList>
</comments>
</file>

<file path=xl/comments2.xml><?xml version="1.0" encoding="utf-8"?>
<comments xmlns="http://schemas.openxmlformats.org/spreadsheetml/2006/main">
  <authors>
    <author>H. van Vliet</author>
  </authors>
  <commentList>
    <comment ref="J8" authorId="0">
      <text>
        <r>
          <rPr>
            <sz val="9"/>
            <color indexed="81"/>
            <rFont val="Tahoma"/>
            <family val="2"/>
          </rPr>
          <t xml:space="preserve">
  hier hoeft u niets in te vullen.</t>
        </r>
      </text>
    </comment>
    <comment ref="K8" authorId="0">
      <text>
        <r>
          <rPr>
            <sz val="9"/>
            <color indexed="81"/>
            <rFont val="Tahoma"/>
            <family val="2"/>
          </rPr>
          <t xml:space="preserve">
  hier hoeft u niets in te vullen.
</t>
        </r>
      </text>
    </comment>
  </commentList>
</comments>
</file>

<file path=xl/sharedStrings.xml><?xml version="1.0" encoding="utf-8"?>
<sst xmlns="http://schemas.openxmlformats.org/spreadsheetml/2006/main" count="278" uniqueCount="190">
  <si>
    <t>Isolatielaag</t>
  </si>
  <si>
    <t>330100.0250</t>
  </si>
  <si>
    <t>330120.0250</t>
  </si>
  <si>
    <t>330140.0250</t>
  </si>
  <si>
    <t>330160.0250</t>
  </si>
  <si>
    <t>330180.0250</t>
  </si>
  <si>
    <t>330200.0250</t>
  </si>
  <si>
    <t>330220.0250</t>
  </si>
  <si>
    <t>330240.0250</t>
  </si>
  <si>
    <t>330260.0250</t>
  </si>
  <si>
    <t>330280.0250</t>
  </si>
  <si>
    <t>luchtspouw</t>
  </si>
  <si>
    <t>min</t>
  </si>
  <si>
    <t>max</t>
  </si>
  <si>
    <t>Artikel:</t>
  </si>
  <si>
    <t>Luchtspouw</t>
  </si>
  <si>
    <t>Spouwanker</t>
  </si>
  <si>
    <t>-</t>
  </si>
  <si>
    <t>Isolatiedikte</t>
  </si>
  <si>
    <t>41-60</t>
  </si>
  <si>
    <t>61-80</t>
  </si>
  <si>
    <t>37461.0250</t>
  </si>
  <si>
    <t>UNI-slagspouwanker 160x4   316</t>
  </si>
  <si>
    <t>37462.0250</t>
  </si>
  <si>
    <t>UNI-slagspouwanker 190x4   316</t>
  </si>
  <si>
    <t>37463.0250</t>
  </si>
  <si>
    <t>UNI-slagspouwanker 220x4   316</t>
  </si>
  <si>
    <t>UNI-slagspouwanker 250x4   316</t>
  </si>
  <si>
    <t>37464.0250</t>
  </si>
  <si>
    <t>UNI-slagspouwanker 325x4   316</t>
  </si>
  <si>
    <t>374653.0250</t>
  </si>
  <si>
    <t>374655.0250</t>
  </si>
  <si>
    <t>UNI-slagspouwanker 350x4   316</t>
  </si>
  <si>
    <t>374657.0250</t>
  </si>
  <si>
    <t>UNI-slagspouwanker 375x4   316</t>
  </si>
  <si>
    <t>37465.0250</t>
  </si>
  <si>
    <t>UNI-slagspouwanker 300x4   316</t>
  </si>
  <si>
    <t>374663.0250</t>
  </si>
  <si>
    <t>UNI-slagspouwanker 425x4   316</t>
  </si>
  <si>
    <t>374665.0250</t>
  </si>
  <si>
    <t>UNI-slagspouwanker 450x4   316</t>
  </si>
  <si>
    <t>374667.0250</t>
  </si>
  <si>
    <t>UNI-slagspouwanker 475x4   316</t>
  </si>
  <si>
    <t>UNI-slagspouwanker 400x4   316</t>
  </si>
  <si>
    <t>37466.0250</t>
  </si>
  <si>
    <t>37467.0250</t>
  </si>
  <si>
    <t>UNI-slagspouwanker 275x4   316</t>
  </si>
  <si>
    <t>UNI-Flexplug 100 iso 40-60  NY</t>
  </si>
  <si>
    <t>UNI-Flexplug 120 iso 60-80  NY</t>
  </si>
  <si>
    <t>UNI-Flexplug 140 iso 80-100 NY</t>
  </si>
  <si>
    <t>UNI-Flexplug 160 iso100-120 NY</t>
  </si>
  <si>
    <t>UNI-Flexplug 180 iso120-140 NY</t>
  </si>
  <si>
    <t>UNI-Flexplug 200 iso140-160 NY</t>
  </si>
  <si>
    <t>UNI-Flexplug 220 iso160-180 NY</t>
  </si>
  <si>
    <t>UNI-Flexplug 240 iso180-200 NY</t>
  </si>
  <si>
    <t>UNI-Flexplug 260 iso200-220 NY</t>
  </si>
  <si>
    <t>UNI-Flexplug 280 iso220-240 NY</t>
  </si>
  <si>
    <t>81-100</t>
  </si>
  <si>
    <t>101-120</t>
  </si>
  <si>
    <t>121-140</t>
  </si>
  <si>
    <t>141-160</t>
  </si>
  <si>
    <t>161-180</t>
  </si>
  <si>
    <t>181-200</t>
  </si>
  <si>
    <t>201-220</t>
  </si>
  <si>
    <t>221-240</t>
  </si>
  <si>
    <t>Advies</t>
  </si>
  <si>
    <t>Slagspouwanker:</t>
  </si>
  <si>
    <t>zoek eerste "WAAR"</t>
  </si>
  <si>
    <t>Flexplug:</t>
  </si>
  <si>
    <t>UNI-Perfoplug 140 iso60-80  NY</t>
  </si>
  <si>
    <t>UNI-Perfoplug 160 iso80-100 NY</t>
  </si>
  <si>
    <t>UNI-Perfoplug 180 iso100-120NY</t>
  </si>
  <si>
    <t>UNI-Perfoplug 200 iso120-140NY</t>
  </si>
  <si>
    <t>UNI-Perfoplug 220 iso140-160NY</t>
  </si>
  <si>
    <t>331140.0250</t>
  </si>
  <si>
    <t>331160.0250</t>
  </si>
  <si>
    <t>331180.0250</t>
  </si>
  <si>
    <t>331200.0250</t>
  </si>
  <si>
    <t>331220.0250</t>
  </si>
  <si>
    <t>37435.0250</t>
  </si>
  <si>
    <t>UNI-boorspouwanker 160x4   316</t>
  </si>
  <si>
    <t>37436.0250</t>
  </si>
  <si>
    <t>UNI-boorspouwanker 190x4   316</t>
  </si>
  <si>
    <t>37437.0250</t>
  </si>
  <si>
    <t>UNI-boorspouwanker 220x4   316</t>
  </si>
  <si>
    <t>374385.0250</t>
  </si>
  <si>
    <t>UNI-boorspouwanker 275x4   316</t>
  </si>
  <si>
    <t>37438.0250</t>
  </si>
  <si>
    <t>UNI-boorspouwanker 250x4   316</t>
  </si>
  <si>
    <t>374393.0250</t>
  </si>
  <si>
    <t>UNI-boorspouwanker 325x4   316</t>
  </si>
  <si>
    <t>374395.0250</t>
  </si>
  <si>
    <t>UNI-boorspouwanker 350x4   316</t>
  </si>
  <si>
    <t>374397.0250</t>
  </si>
  <si>
    <t>UNI-boorspouwanker 375x4   316</t>
  </si>
  <si>
    <t>37439.0250</t>
  </si>
  <si>
    <t>UNI-boorspouwanker 300x4   316</t>
  </si>
  <si>
    <t>UNI-boorspouwanker 400x4   316</t>
  </si>
  <si>
    <t>37440.0250</t>
  </si>
  <si>
    <t>Perfoplug:</t>
  </si>
  <si>
    <t>Boorspouwanker:</t>
  </si>
  <si>
    <t>Kies hier de achtergrondconstructie!</t>
  </si>
  <si>
    <t>392100.0001</t>
  </si>
  <si>
    <t>Buitenblad</t>
  </si>
  <si>
    <t xml:space="preserve"> -lengte</t>
  </si>
  <si>
    <t>390000.0001</t>
  </si>
  <si>
    <t>Inslaghulpstuk tbv plug 45  EV</t>
  </si>
  <si>
    <t>t.b.v. art.nr. 330100</t>
  </si>
  <si>
    <t>392080.0001</t>
  </si>
  <si>
    <t>Inslaghulpstuk rood      KS/VD</t>
  </si>
  <si>
    <t>t.b.v. art.nr. 330120 en 331140</t>
  </si>
  <si>
    <t>Inslaghulpstuk blauw     KS/VD</t>
  </si>
  <si>
    <t>t.b.v. art.nr. 330140 en 331160</t>
  </si>
  <si>
    <t>392120.0001</t>
  </si>
  <si>
    <t>Inslaghulpstuk groen     KS/VD</t>
  </si>
  <si>
    <t>t.b.v. art.nr. 330160 en 331180</t>
  </si>
  <si>
    <t>392140.0001</t>
  </si>
  <si>
    <t>Inslaghulpstuk transparant  VD</t>
  </si>
  <si>
    <t>t.b.v. art.nr. 330180</t>
  </si>
  <si>
    <t>392160.0001</t>
  </si>
  <si>
    <t>Inslaghulpstuk grijs     KS/VD</t>
  </si>
  <si>
    <t>t.b.v. art.nr. 330200</t>
  </si>
  <si>
    <t>392180.0001</t>
  </si>
  <si>
    <t>Inslaghulpstuk zwart     KS/VD</t>
  </si>
  <si>
    <t>t.b.v. art.nr. 330220</t>
  </si>
  <si>
    <t>392200.0001</t>
  </si>
  <si>
    <t>Inslaghulpstuk bruin     KS/VD</t>
  </si>
  <si>
    <t>t.b.v. art.nr. 330240</t>
  </si>
  <si>
    <t>392220.0001</t>
  </si>
  <si>
    <t>Inslaghulpstuk zilver    KS/VD</t>
  </si>
  <si>
    <t>t.b.v. art.nr. 330260 | 330280</t>
  </si>
  <si>
    <t>Inslaghulp</t>
  </si>
  <si>
    <t>Inslaghulp:</t>
  </si>
  <si>
    <t>38103.0250</t>
  </si>
  <si>
    <t>UNI-Lijmboorsp.anker 160x4 316</t>
  </si>
  <si>
    <t>38105.0250</t>
  </si>
  <si>
    <t>UNI-Lijmboorsp.anker 190x4 316</t>
  </si>
  <si>
    <t>38107.0250</t>
  </si>
  <si>
    <t>UNI-Lijmboorsp.anker 220x4 316</t>
  </si>
  <si>
    <t>38109.0250</t>
  </si>
  <si>
    <t>UNI-Lijmboorsp.anker 250x4 316</t>
  </si>
  <si>
    <t>38110.0250</t>
  </si>
  <si>
    <t>UNI-Lijmboorsp.anker 275x4 316</t>
  </si>
  <si>
    <t>38111.0250</t>
  </si>
  <si>
    <t>UNI-Lijmboorsp.anker 300x4 316</t>
  </si>
  <si>
    <t>38112.0250</t>
  </si>
  <si>
    <t>UNI-Lijmboorsp.anker 325x4 316</t>
  </si>
  <si>
    <t>38113.0250</t>
  </si>
  <si>
    <t>UNI-Lijmboorsp.anker 350x4 316</t>
  </si>
  <si>
    <t>38114.0250</t>
  </si>
  <si>
    <t>UNI-Lijmboorsp.anker 375x4 316</t>
  </si>
  <si>
    <t>38115.0250</t>
  </si>
  <si>
    <t>UNI-Lijmboorsp.anker 400x4 316</t>
  </si>
  <si>
    <t>Radiobutton Buitenblad:</t>
  </si>
  <si>
    <t>Gemetselde</t>
  </si>
  <si>
    <t>Gelijmde</t>
  </si>
  <si>
    <t>bepalen maat van slagpijp</t>
  </si>
  <si>
    <t>voor gemetselde UNI-Slagspouwanker</t>
  </si>
  <si>
    <t>390075.0001</t>
  </si>
  <si>
    <t>Slagpijp binnenmaat 75      GP</t>
  </si>
  <si>
    <t>binnenmaat 75 mm</t>
  </si>
  <si>
    <t>t.b.v. UNI-Slagspouwanker</t>
  </si>
  <si>
    <t>390110.0001</t>
  </si>
  <si>
    <t>Slagpijp binnenmaat 110     GP</t>
  </si>
  <si>
    <t>binnenmaat 110 mm</t>
  </si>
  <si>
    <t>39018.0001</t>
  </si>
  <si>
    <t>Slagpijp binnenmaat 350 mm  GP</t>
  </si>
  <si>
    <t>binnenmaat 350 mm</t>
  </si>
  <si>
    <t>390200.0001</t>
  </si>
  <si>
    <t>Slagpijp binnenmaat 200     GP</t>
  </si>
  <si>
    <t>binnenmaat 200 mm</t>
  </si>
  <si>
    <t>390275.0001</t>
  </si>
  <si>
    <t>Slagpijp binnenmaat 275     GP</t>
  </si>
  <si>
    <t>binnenmaat 275 mm</t>
  </si>
  <si>
    <t xml:space="preserve"> - </t>
  </si>
  <si>
    <t xml:space="preserve"> =</t>
  </si>
  <si>
    <t>afm.</t>
  </si>
  <si>
    <t>Benodigde lengte Slagpijp is lengte slagspouwanker minus Isolatiedikte, naar beneden afgerond.</t>
  </si>
  <si>
    <t>Inlegdiepte</t>
  </si>
  <si>
    <t>buitenblad</t>
  </si>
  <si>
    <t>kijk regelmatig op</t>
  </si>
  <si>
    <t>http:www.gb.nl/rekenhulp</t>
  </si>
  <si>
    <t>of een nieuwe versie beschikkbaar is.</t>
  </si>
  <si>
    <t>Let op, dit is rekenhulp V1.00</t>
  </si>
  <si>
    <t>Rekenhulp voor Kalkzandsteen, Beton of Baksteen.</t>
  </si>
  <si>
    <t>Rekenhulp voor Keramische holle steen.</t>
  </si>
  <si>
    <t>Hoewel aan dit rekenprogramma uiteraard de grootste zorg is besteed, 
bestaat er een mogelijkheid dat een fout over het hoofd is gezien.
Gebr. Bodegraven BV wijst hiervoor elke aansprakelijkheid van de hand.
Wij stellen het echter zeer op prijs als u eventuele onvolkomenheden aan ons mailt.</t>
  </si>
  <si>
    <t>let op; ceel W15 ; witte tekst om bij AE66 &lt; 2</t>
  </si>
  <si>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</sst>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u/>
      <sz val="36"/>
      <color rgb="FFFF0000"/>
      <name val="Calibri"/>
      <family val="2"/>
      <scheme val="minor"/>
    </font>
    <font>
      <sz val="11"/>
      <color rgb="FF000000"/>
      <name val="Calibri"/>
      <family val="2"/>
    </font>
    <font>
      <sz val="8"/>
      <color rgb="FF000000"/>
      <name val="Tahoma"/>
      <family val="2"/>
    </font>
    <font>
      <sz val="11"/>
      <color rgb="FFFF0000"/>
      <name val="Calibri"/>
      <family val="2"/>
      <scheme val="minor"/>
    </font>
    <font>
      <sz val="24"/>
      <color rgb="FFFF0000"/>
      <name val="Calibri"/>
      <family val="2"/>
      <scheme val="minor"/>
    </font>
    <font>
      <b/>
      <u/>
      <sz val="12"/>
      <color theme="1"/>
      <name val="Calibri"/>
      <family val="2"/>
      <scheme val="minor"/>
    </font>
    <font>
      <sz val="12"/>
      <color theme="1"/>
      <name val="Calibri"/>
      <family val="2"/>
      <scheme val="minor"/>
    </font>
    <font>
      <b/>
      <sz val="11"/>
      <color rgb="FFFF0000"/>
      <name val="Calibri"/>
      <family val="2"/>
      <scheme val="minor"/>
    </font>
    <font>
      <sz val="11"/>
      <color rgb="FF0000FF"/>
      <name val="Calibri"/>
      <family val="2"/>
    </font>
    <font>
      <strike/>
      <sz val="11"/>
      <color theme="1"/>
      <name val="Calibri"/>
      <family val="2"/>
      <scheme val="minor"/>
    </font>
    <font>
      <sz val="10"/>
      <color theme="0" tint="-0.34998626667073579"/>
      <name val="Calibri"/>
      <family val="2"/>
      <scheme val="minor"/>
    </font>
    <font>
      <u/>
      <sz val="11"/>
      <color theme="10"/>
      <name val="Calibri"/>
      <family val="2"/>
      <scheme val="minor"/>
    </font>
    <font>
      <b/>
      <sz val="14"/>
      <color theme="1"/>
      <name val="Calibri"/>
      <family val="2"/>
      <scheme val="minor"/>
    </font>
    <font>
      <sz val="11"/>
      <color theme="1"/>
      <name val="Calibri"/>
      <family val="2"/>
    </font>
    <font>
      <b/>
      <strike/>
      <sz val="12"/>
      <color theme="1"/>
      <name val="Calibri"/>
      <family val="2"/>
      <scheme val="minor"/>
    </font>
    <font>
      <b/>
      <sz val="16"/>
      <color theme="4" tint="-0.249977111117893"/>
      <name val="Calibri"/>
      <family val="2"/>
      <scheme val="minor"/>
    </font>
    <font>
      <sz val="11"/>
      <color theme="0" tint="-0.34998626667073579"/>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6">
    <border>
      <left/>
      <right/>
      <top/>
      <bottom/>
      <diagonal/>
    </border>
    <border>
      <left/>
      <right style="thick">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tted">
        <color indexed="64"/>
      </right>
      <top/>
      <bottom/>
      <diagonal/>
    </border>
    <border>
      <left/>
      <right style="dotted">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0" fontId="15" fillId="0" borderId="0" applyNumberFormat="0" applyFill="0" applyBorder="0" applyAlignment="0" applyProtection="0"/>
  </cellStyleXfs>
  <cellXfs count="90">
    <xf numFmtId="0" fontId="0" fillId="0" borderId="0" xfId="0"/>
    <xf numFmtId="49" fontId="0" fillId="0" borderId="0" xfId="0" applyNumberFormat="1"/>
    <xf numFmtId="49" fontId="0" fillId="0" borderId="0" xfId="0" applyNumberFormat="1" applyAlignment="1">
      <alignment horizontal="center"/>
    </xf>
    <xf numFmtId="0" fontId="0" fillId="0" borderId="0" xfId="0"/>
    <xf numFmtId="0" fontId="0" fillId="0" borderId="1" xfId="0" applyBorder="1"/>
    <xf numFmtId="0" fontId="0" fillId="0" borderId="0" xfId="0"/>
    <xf numFmtId="0" fontId="0" fillId="0" borderId="0" xfId="0" applyBorder="1"/>
    <xf numFmtId="0" fontId="3" fillId="0" borderId="1" xfId="0" applyFont="1" applyBorder="1"/>
    <xf numFmtId="0" fontId="0" fillId="0" borderId="5" xfId="0" applyBorder="1"/>
    <xf numFmtId="0" fontId="0" fillId="0" borderId="6" xfId="0" applyBorder="1"/>
    <xf numFmtId="49" fontId="0" fillId="0" borderId="6" xfId="0" applyNumberFormat="1" applyBorder="1"/>
    <xf numFmtId="0" fontId="0" fillId="0" borderId="7" xfId="0" applyBorder="1"/>
    <xf numFmtId="0" fontId="0" fillId="0" borderId="4" xfId="0" applyBorder="1"/>
    <xf numFmtId="0" fontId="1" fillId="0" borderId="0" xfId="0" applyFont="1" applyBorder="1"/>
    <xf numFmtId="49" fontId="0" fillId="0" borderId="0" xfId="0" applyNumberFormat="1" applyBorder="1"/>
    <xf numFmtId="0" fontId="2" fillId="0" borderId="0" xfId="0" applyFont="1" applyBorder="1" applyAlignment="1">
      <alignment horizontal="right"/>
    </xf>
    <xf numFmtId="0" fontId="2" fillId="0" borderId="0" xfId="0" applyFont="1" applyBorder="1"/>
    <xf numFmtId="0" fontId="3" fillId="0" borderId="0" xfId="0" applyNumberFormat="1" applyFont="1" applyBorder="1"/>
    <xf numFmtId="0" fontId="3" fillId="0" borderId="0" xfId="0" applyFont="1" applyBorder="1"/>
    <xf numFmtId="0" fontId="3" fillId="0" borderId="0" xfId="0" applyFont="1" applyBorder="1" applyAlignment="1">
      <alignment horizontal="center"/>
    </xf>
    <xf numFmtId="0" fontId="3" fillId="0" borderId="0" xfId="0" applyFont="1" applyBorder="1" applyAlignment="1">
      <alignment horizontal="right"/>
    </xf>
    <xf numFmtId="0" fontId="0" fillId="0" borderId="8" xfId="0" applyBorder="1"/>
    <xf numFmtId="0" fontId="0" fillId="0" borderId="9" xfId="0" applyBorder="1"/>
    <xf numFmtId="49" fontId="0" fillId="0" borderId="9" xfId="0" applyNumberFormat="1" applyBorder="1"/>
    <xf numFmtId="0" fontId="0" fillId="0" borderId="10" xfId="0" applyBorder="1"/>
    <xf numFmtId="0" fontId="0" fillId="0" borderId="0" xfId="0" applyBorder="1" applyAlignment="1">
      <alignment horizontal="center"/>
    </xf>
    <xf numFmtId="49" fontId="0" fillId="0" borderId="0" xfId="0" applyNumberFormat="1" applyBorder="1" applyProtection="1">
      <protection locked="0"/>
    </xf>
    <xf numFmtId="0" fontId="0" fillId="0" borderId="0" xfId="0" applyBorder="1" applyProtection="1">
      <protection locked="0"/>
    </xf>
    <xf numFmtId="0" fontId="0" fillId="0" borderId="0" xfId="0"/>
    <xf numFmtId="0" fontId="3" fillId="0" borderId="0" xfId="0" applyFont="1" applyAlignment="1">
      <alignment horizontal="center"/>
    </xf>
    <xf numFmtId="0" fontId="0" fillId="0" borderId="0" xfId="0"/>
    <xf numFmtId="49" fontId="0" fillId="0" borderId="0" xfId="0" applyNumberFormat="1"/>
    <xf numFmtId="0" fontId="2" fillId="0" borderId="0" xfId="0" applyFont="1" applyAlignment="1">
      <alignment horizontal="right"/>
    </xf>
    <xf numFmtId="0" fontId="2" fillId="0" borderId="0" xfId="0" applyFont="1"/>
    <xf numFmtId="0" fontId="0" fillId="0" borderId="0" xfId="0"/>
    <xf numFmtId="0" fontId="3" fillId="0" borderId="0" xfId="0" applyFont="1" applyAlignment="1"/>
    <xf numFmtId="0" fontId="3" fillId="0" borderId="0" xfId="0" applyFont="1" applyBorder="1" applyAlignment="1">
      <alignment horizontal="left"/>
    </xf>
    <xf numFmtId="3" fontId="2" fillId="0" borderId="1" xfId="0" applyNumberFormat="1" applyFont="1" applyBorder="1"/>
    <xf numFmtId="0" fontId="7" fillId="0" borderId="0" xfId="0" applyFont="1"/>
    <xf numFmtId="49" fontId="0" fillId="0" borderId="7" xfId="0" applyNumberFormat="1" applyBorder="1"/>
    <xf numFmtId="49" fontId="0" fillId="0" borderId="1" xfId="0" applyNumberFormat="1" applyBorder="1"/>
    <xf numFmtId="49" fontId="0" fillId="0" borderId="11" xfId="0" applyNumberFormat="1" applyBorder="1"/>
    <xf numFmtId="0" fontId="0" fillId="0" borderId="11" xfId="0" applyBorder="1"/>
    <xf numFmtId="0" fontId="3" fillId="0" borderId="1" xfId="0" applyFont="1" applyBorder="1" applyAlignment="1">
      <alignment horizontal="left"/>
    </xf>
    <xf numFmtId="0" fontId="0" fillId="0" borderId="12" xfId="0" applyBorder="1"/>
    <xf numFmtId="0" fontId="0" fillId="0" borderId="0" xfId="0" applyProtection="1">
      <protection locked="0"/>
    </xf>
    <xf numFmtId="0" fontId="9" fillId="0" borderId="0" xfId="0" applyFont="1"/>
    <xf numFmtId="0" fontId="10" fillId="0" borderId="0" xfId="0" applyFont="1"/>
    <xf numFmtId="0" fontId="10" fillId="0" borderId="0" xfId="0" applyFont="1" applyBorder="1"/>
    <xf numFmtId="0" fontId="0" fillId="0" borderId="0" xfId="0" applyAlignment="1">
      <alignment horizontal="center"/>
    </xf>
    <xf numFmtId="3" fontId="2" fillId="0" borderId="0" xfId="0" applyNumberFormat="1" applyFont="1" applyBorder="1"/>
    <xf numFmtId="0" fontId="0" fillId="0" borderId="0" xfId="0"/>
    <xf numFmtId="49" fontId="0" fillId="0" borderId="10" xfId="0" applyNumberFormat="1" applyBorder="1"/>
    <xf numFmtId="0" fontId="3" fillId="0" borderId="1" xfId="0" applyFont="1" applyBorder="1" applyAlignment="1"/>
    <xf numFmtId="49" fontId="0" fillId="0" borderId="12" xfId="0" applyNumberFormat="1" applyBorder="1"/>
    <xf numFmtId="0" fontId="13" fillId="0" borderId="0" xfId="0" applyFont="1"/>
    <xf numFmtId="14" fontId="0" fillId="0" borderId="0" xfId="0" applyNumberFormat="1"/>
    <xf numFmtId="0" fontId="1" fillId="0" borderId="0" xfId="0" applyFont="1"/>
    <xf numFmtId="3" fontId="2" fillId="0" borderId="0" xfId="0" applyNumberFormat="1" applyFont="1"/>
    <xf numFmtId="0" fontId="18" fillId="0" borderId="0" xfId="0" applyFont="1" applyBorder="1" applyAlignment="1">
      <alignment horizontal="right"/>
    </xf>
    <xf numFmtId="0" fontId="18" fillId="0" borderId="0" xfId="0" applyFont="1" applyBorder="1"/>
    <xf numFmtId="3" fontId="18" fillId="0" borderId="0" xfId="0" applyNumberFormat="1" applyFont="1" applyBorder="1"/>
    <xf numFmtId="0" fontId="0" fillId="0" borderId="0" xfId="0" applyAlignment="1">
      <alignment vertical="top" wrapText="1"/>
    </xf>
    <xf numFmtId="0" fontId="0" fillId="0" borderId="0" xfId="0" applyAlignment="1">
      <alignment vertical="top"/>
    </xf>
    <xf numFmtId="0" fontId="0" fillId="0" borderId="0" xfId="0" applyBorder="1" applyAlignment="1">
      <alignment vertical="top"/>
    </xf>
    <xf numFmtId="0" fontId="16" fillId="0" borderId="0" xfId="0" applyFont="1" applyAlignment="1">
      <alignment vertical="top"/>
    </xf>
    <xf numFmtId="0" fontId="16" fillId="0" borderId="0" xfId="0" applyFont="1" applyBorder="1" applyAlignment="1">
      <alignment vertical="top"/>
    </xf>
    <xf numFmtId="49" fontId="0" fillId="0" borderId="0" xfId="0" applyNumberFormat="1" applyAlignment="1">
      <alignment vertical="top" wrapText="1"/>
    </xf>
    <xf numFmtId="0" fontId="17" fillId="0" borderId="0" xfId="0" applyFont="1" applyBorder="1" applyAlignment="1">
      <alignment vertical="top"/>
    </xf>
    <xf numFmtId="49" fontId="0" fillId="0" borderId="0" xfId="0" applyNumberFormat="1" applyAlignment="1">
      <alignment vertical="top"/>
    </xf>
    <xf numFmtId="0" fontId="11" fillId="0" borderId="0" xfId="0" applyFont="1"/>
    <xf numFmtId="0" fontId="3" fillId="0" borderId="0" xfId="0" applyFont="1" applyAlignment="1">
      <alignment horizontal="center"/>
    </xf>
    <xf numFmtId="0" fontId="14" fillId="0" borderId="0" xfId="0" applyFont="1" applyAlignment="1">
      <alignment horizontal="center" vertical="top" wrapText="1"/>
    </xf>
    <xf numFmtId="0" fontId="1" fillId="0" borderId="0" xfId="0" applyFont="1" applyAlignment="1">
      <alignment horizontal="center"/>
    </xf>
    <xf numFmtId="0" fontId="15" fillId="0" borderId="0" xfId="1" applyAlignment="1">
      <alignment horizontal="center"/>
    </xf>
    <xf numFmtId="0" fontId="2" fillId="0" borderId="0" xfId="0" applyFont="1" applyBorder="1" applyAlignment="1">
      <alignment horizontal="left"/>
    </xf>
    <xf numFmtId="0" fontId="4" fillId="0" borderId="0" xfId="0" applyFont="1" applyBorder="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xf>
    <xf numFmtId="0" fontId="11" fillId="0" borderId="0" xfId="0" applyFont="1" applyBorder="1" applyAlignment="1">
      <alignment horizontal="center" vertical="justify"/>
    </xf>
    <xf numFmtId="0" fontId="11" fillId="0" borderId="1" xfId="0" applyFont="1" applyBorder="1" applyAlignment="1">
      <alignment horizontal="center" vertical="justify"/>
    </xf>
    <xf numFmtId="0" fontId="3" fillId="0" borderId="0"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19" fillId="0" borderId="15" xfId="0" applyFont="1" applyBorder="1" applyAlignment="1">
      <alignment horizont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1" fillId="0" borderId="4" xfId="0" applyFont="1" applyBorder="1" applyAlignment="1">
      <alignment horizontal="center" vertical="justify"/>
    </xf>
    <xf numFmtId="0" fontId="2" fillId="0" borderId="1" xfId="0" applyFont="1" applyBorder="1" applyAlignment="1">
      <alignment horizontal="left"/>
    </xf>
  </cellXfs>
  <cellStyles count="2">
    <cellStyle name="Hyperlink" xfId="1" builtinId="8"/>
    <cellStyle name="Standaard" xfId="0" builtinId="0"/>
  </cellStyles>
  <dxfs count="10">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FF0000"/>
      </font>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Radio" firstButton="1" fmlaLink="Z50" lockText="1"/>
</file>

<file path=xl/ctrlProps/ctrlProp12.xml><?xml version="1.0" encoding="utf-8"?>
<formControlPr xmlns="http://schemas.microsoft.com/office/spreadsheetml/2009/9/main" objectType="Radio"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Drop" dropStyle="combo" dx="16" fmlaLink="$B$8" fmlaRange="$C$54:$C$63" noThreeD="1" val="0"/>
</file>

<file path=xl/ctrlProps/ctrlProp4.xml><?xml version="1.0" encoding="utf-8"?>
<formControlPr xmlns="http://schemas.microsoft.com/office/spreadsheetml/2009/9/main" objectType="Drop" dropStyle="combo" dx="16" fmlaLink="$F$8" fmlaRange="$I$71:$I$89" noThreeD="1" val="0"/>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Radio" firstButton="1" fmlaLink="$Z$48"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Drop" dropStyle="combo" dx="16" fmlaLink="$B$8" fmlaRange="$C$56:$C$60" noThreeD="1" val="0"/>
</file>

<file path=xl/ctrlProps/ctrlProp9.xml><?xml version="1.0" encoding="utf-8"?>
<formControlPr xmlns="http://schemas.microsoft.com/office/spreadsheetml/2009/9/main" objectType="Drop" dropStyle="combo" dx="16" fmlaLink="$F$8" fmlaRange="$I$73:$I$91" noThreeD="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0</xdr:rowOff>
        </xdr:from>
        <xdr:to>
          <xdr:col>6</xdr:col>
          <xdr:colOff>590550</xdr:colOff>
          <xdr:row>8</xdr:row>
          <xdr:rowOff>180975</xdr:rowOff>
        </xdr:to>
        <xdr:sp macro="" textlink="">
          <xdr:nvSpPr>
            <xdr:cNvPr id="2051" name="Button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27432" rIns="0" bIns="27432" anchor="ctr" upright="1"/>
            <a:lstStyle/>
            <a:p>
              <a:pPr algn="l" rtl="0">
                <a:defRPr sz="1000"/>
              </a:pPr>
              <a:r>
                <a:rPr lang="nl-NL" sz="1100" b="0" i="0" u="none" strike="noStrike" baseline="0">
                  <a:solidFill>
                    <a:srgbClr val="000000"/>
                  </a:solidFill>
                  <a:latin typeface="Calibri"/>
                </a:rPr>
                <a:t>                         • Kalkzandsteen</a:t>
              </a:r>
            </a:p>
            <a:p>
              <a:pPr algn="l" rtl="0">
                <a:defRPr sz="1000"/>
              </a:pPr>
              <a:r>
                <a:rPr lang="nl-NL" sz="1100" b="0" i="0" u="none" strike="noStrike" baseline="0">
                  <a:solidFill>
                    <a:srgbClr val="000000"/>
                  </a:solidFill>
                  <a:latin typeface="Calibri"/>
                </a:rPr>
                <a:t>                         • Beton of</a:t>
              </a:r>
            </a:p>
            <a:p>
              <a:pPr algn="l" rtl="0">
                <a:defRPr sz="1000"/>
              </a:pPr>
              <a:r>
                <a:rPr lang="nl-NL" sz="1100" b="0" i="0" u="none" strike="noStrike" baseline="0">
                  <a:solidFill>
                    <a:srgbClr val="000000"/>
                  </a:solidFill>
                  <a:latin typeface="Calibri"/>
                </a:rPr>
                <a:t>                         • Baksteen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142875</xdr:colOff>
          <xdr:row>3</xdr:row>
          <xdr:rowOff>19050</xdr:rowOff>
        </xdr:from>
        <xdr:to>
          <xdr:col>18</xdr:col>
          <xdr:colOff>123825</xdr:colOff>
          <xdr:row>9</xdr:row>
          <xdr:rowOff>19050</xdr:rowOff>
        </xdr:to>
        <xdr:sp macro="" textlink="">
          <xdr:nvSpPr>
            <xdr:cNvPr id="2052" name="Button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rPr>
                <a:t>• Keramische holle steen</a:t>
              </a:r>
            </a:p>
          </xdr:txBody>
        </xdr:sp>
        <xdr:clientData fPrintsWithSheet="0"/>
      </xdr:twoCellAnchor>
    </mc:Choice>
    <mc:Fallback/>
  </mc:AlternateContent>
  <xdr:twoCellAnchor editAs="oneCell">
    <xdr:from>
      <xdr:col>4</xdr:col>
      <xdr:colOff>552450</xdr:colOff>
      <xdr:row>32</xdr:row>
      <xdr:rowOff>28575</xdr:rowOff>
    </xdr:from>
    <xdr:to>
      <xdr:col>17</xdr:col>
      <xdr:colOff>130692</xdr:colOff>
      <xdr:row>36</xdr:row>
      <xdr:rowOff>95250</xdr:rowOff>
    </xdr:to>
    <xdr:pic>
      <xdr:nvPicPr>
        <xdr:cNvPr id="5" name="Afbeelding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0850" y="7153275"/>
          <a:ext cx="7503042"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381000</xdr:colOff>
      <xdr:row>11</xdr:row>
      <xdr:rowOff>76200</xdr:rowOff>
    </xdr:from>
    <xdr:to>
      <xdr:col>18</xdr:col>
      <xdr:colOff>19050</xdr:colOff>
      <xdr:row>25</xdr:row>
      <xdr:rowOff>0</xdr:rowOff>
    </xdr:to>
    <xdr:pic>
      <xdr:nvPicPr>
        <xdr:cNvPr id="6" name="Afbeelding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3200400"/>
          <a:ext cx="2076450"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10</xdr:row>
      <xdr:rowOff>171450</xdr:rowOff>
    </xdr:from>
    <xdr:to>
      <xdr:col>7</xdr:col>
      <xdr:colOff>438150</xdr:colOff>
      <xdr:row>24</xdr:row>
      <xdr:rowOff>103461</xdr:rowOff>
    </xdr:to>
    <xdr:pic>
      <xdr:nvPicPr>
        <xdr:cNvPr id="8" name="Afbeelding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1150" y="3105150"/>
          <a:ext cx="3124200" cy="2599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7</xdr:row>
          <xdr:rowOff>9525</xdr:rowOff>
        </xdr:from>
        <xdr:to>
          <xdr:col>3</xdr:col>
          <xdr:colOff>0</xdr:colOff>
          <xdr:row>8</xdr:row>
          <xdr:rowOff>123825</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200025</xdr:rowOff>
        </xdr:from>
        <xdr:to>
          <xdr:col>6</xdr:col>
          <xdr:colOff>581025</xdr:colOff>
          <xdr:row>8</xdr:row>
          <xdr:rowOff>104775</xdr:rowOff>
        </xdr:to>
        <xdr:sp macro="" textlink="">
          <xdr:nvSpPr>
            <xdr:cNvPr id="1026" name="Drop Dow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19</xdr:row>
          <xdr:rowOff>180975</xdr:rowOff>
        </xdr:from>
        <xdr:to>
          <xdr:col>23</xdr:col>
          <xdr:colOff>0</xdr:colOff>
          <xdr:row>22</xdr:row>
          <xdr:rowOff>85725</xdr:rowOff>
        </xdr:to>
        <xdr:sp macro="" textlink="">
          <xdr:nvSpPr>
            <xdr:cNvPr id="1027" name="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nl-NL" sz="1100" b="0" i="0" u="none" strike="noStrike" baseline="0">
                  <a:solidFill>
                    <a:srgbClr val="0000FF"/>
                  </a:solidFill>
                  <a:latin typeface="Calibri"/>
                </a:rPr>
                <a:t>&lt;= terug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4</xdr:row>
          <xdr:rowOff>123825</xdr:rowOff>
        </xdr:from>
        <xdr:to>
          <xdr:col>14</xdr:col>
          <xdr:colOff>304800</xdr:colOff>
          <xdr:row>6</xdr:row>
          <xdr:rowOff>180975</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Gemetselde buitengevel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7</xdr:row>
          <xdr:rowOff>180975</xdr:rowOff>
        </xdr:from>
        <xdr:to>
          <xdr:col>14</xdr:col>
          <xdr:colOff>390525</xdr:colOff>
          <xdr:row>9</xdr:row>
          <xdr:rowOff>123825</xdr:rowOff>
        </xdr:to>
        <xdr:sp macro="" textlink="">
          <xdr:nvSpPr>
            <xdr:cNvPr id="1029" name="Option 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Gelijmde buitengevel</a:t>
              </a:r>
            </a:p>
          </xdr:txBody>
        </xdr:sp>
        <xdr:clientData fLocksWithSheet="0"/>
      </xdr:twoCellAnchor>
    </mc:Choice>
    <mc:Fallback/>
  </mc:AlternateContent>
  <xdr:twoCellAnchor editAs="oneCell">
    <xdr:from>
      <xdr:col>0</xdr:col>
      <xdr:colOff>133741</xdr:colOff>
      <xdr:row>17</xdr:row>
      <xdr:rowOff>125771</xdr:rowOff>
    </xdr:from>
    <xdr:to>
      <xdr:col>3</xdr:col>
      <xdr:colOff>840525</xdr:colOff>
      <xdr:row>26</xdr:row>
      <xdr:rowOff>104775</xdr:rowOff>
    </xdr:to>
    <xdr:pic>
      <xdr:nvPicPr>
        <xdr:cNvPr id="3" name="Afbeelding 2"/>
        <xdr:cNvPicPr>
          <a:picLocks noChangeAspect="1"/>
        </xdr:cNvPicPr>
      </xdr:nvPicPr>
      <xdr:blipFill>
        <a:blip xmlns:r="http://schemas.openxmlformats.org/officeDocument/2006/relationships" r:embed="rId1"/>
        <a:stretch>
          <a:fillRect/>
        </a:stretch>
      </xdr:blipFill>
      <xdr:spPr>
        <a:xfrm>
          <a:off x="133741" y="4288196"/>
          <a:ext cx="2535584" cy="1703029"/>
        </a:xfrm>
        <a:prstGeom prst="rect">
          <a:avLst/>
        </a:prstGeom>
      </xdr:spPr>
    </xdr:pic>
    <xdr:clientData/>
  </xdr:twoCellAnchor>
  <xdr:twoCellAnchor editAs="oneCell">
    <xdr:from>
      <xdr:col>9</xdr:col>
      <xdr:colOff>458560</xdr:colOff>
      <xdr:row>17</xdr:row>
      <xdr:rowOff>100207</xdr:rowOff>
    </xdr:from>
    <xdr:to>
      <xdr:col>14</xdr:col>
      <xdr:colOff>436518</xdr:colOff>
      <xdr:row>26</xdr:row>
      <xdr:rowOff>19050</xdr:rowOff>
    </xdr:to>
    <xdr:pic>
      <xdr:nvPicPr>
        <xdr:cNvPr id="5" name="Afbeelding 4"/>
        <xdr:cNvPicPr>
          <a:picLocks noChangeAspect="1"/>
        </xdr:cNvPicPr>
      </xdr:nvPicPr>
      <xdr:blipFill>
        <a:blip xmlns:r="http://schemas.openxmlformats.org/officeDocument/2006/relationships" r:embed="rId2"/>
        <a:stretch>
          <a:fillRect/>
        </a:stretch>
      </xdr:blipFill>
      <xdr:spPr>
        <a:xfrm>
          <a:off x="6173560" y="4272157"/>
          <a:ext cx="2730683" cy="1642868"/>
        </a:xfrm>
        <a:prstGeom prst="rect">
          <a:avLst/>
        </a:prstGeom>
      </xdr:spPr>
    </xdr:pic>
    <xdr:clientData/>
  </xdr:twoCellAnchor>
  <xdr:twoCellAnchor editAs="oneCell">
    <xdr:from>
      <xdr:col>4</xdr:col>
      <xdr:colOff>160856</xdr:colOff>
      <xdr:row>17</xdr:row>
      <xdr:rowOff>108115</xdr:rowOff>
    </xdr:from>
    <xdr:to>
      <xdr:col>7</xdr:col>
      <xdr:colOff>575623</xdr:colOff>
      <xdr:row>26</xdr:row>
      <xdr:rowOff>28575</xdr:rowOff>
    </xdr:to>
    <xdr:pic>
      <xdr:nvPicPr>
        <xdr:cNvPr id="6" name="Afbeelding 5"/>
        <xdr:cNvPicPr>
          <a:picLocks noChangeAspect="1"/>
        </xdr:cNvPicPr>
      </xdr:nvPicPr>
      <xdr:blipFill>
        <a:blip xmlns:r="http://schemas.openxmlformats.org/officeDocument/2006/relationships" r:embed="rId3"/>
        <a:stretch>
          <a:fillRect/>
        </a:stretch>
      </xdr:blipFill>
      <xdr:spPr>
        <a:xfrm>
          <a:off x="2951681" y="4280065"/>
          <a:ext cx="2415017" cy="1644485"/>
        </a:xfrm>
        <a:prstGeom prst="rect">
          <a:avLst/>
        </a:prstGeom>
      </xdr:spPr>
    </xdr:pic>
    <xdr:clientData/>
  </xdr:twoCellAnchor>
  <xdr:twoCellAnchor editAs="oneCell">
    <xdr:from>
      <xdr:col>23</xdr:col>
      <xdr:colOff>333375</xdr:colOff>
      <xdr:row>18</xdr:row>
      <xdr:rowOff>19051</xdr:rowOff>
    </xdr:from>
    <xdr:to>
      <xdr:col>26</xdr:col>
      <xdr:colOff>583142</xdr:colOff>
      <xdr:row>28</xdr:row>
      <xdr:rowOff>102413</xdr:rowOff>
    </xdr:to>
    <xdr:pic>
      <xdr:nvPicPr>
        <xdr:cNvPr id="10" name="Afbeelding 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897100" y="4391026"/>
          <a:ext cx="2373842" cy="1988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10583</xdr:colOff>
      <xdr:row>28</xdr:row>
      <xdr:rowOff>264583</xdr:rowOff>
    </xdr:from>
    <xdr:to>
      <xdr:col>27</xdr:col>
      <xdr:colOff>10583</xdr:colOff>
      <xdr:row>29</xdr:row>
      <xdr:rowOff>0</xdr:rowOff>
    </xdr:to>
    <xdr:cxnSp macro="">
      <xdr:nvCxnSpPr>
        <xdr:cNvPr id="4" name="Rechte verbindingslijn 3"/>
        <xdr:cNvCxnSpPr/>
      </xdr:nvCxnSpPr>
      <xdr:spPr>
        <a:xfrm>
          <a:off x="10583" y="6868583"/>
          <a:ext cx="18478500" cy="105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9525</xdr:rowOff>
        </xdr:from>
        <xdr:to>
          <xdr:col>2</xdr:col>
          <xdr:colOff>600075</xdr:colOff>
          <xdr:row>8</xdr:row>
          <xdr:rowOff>123825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200025</xdr:rowOff>
        </xdr:from>
        <xdr:to>
          <xdr:col>6</xdr:col>
          <xdr:colOff>590550</xdr:colOff>
          <xdr:row>8</xdr:row>
          <xdr:rowOff>114300</xdr:rowOff>
        </xdr:to>
        <xdr:sp macro="" textlink="">
          <xdr:nvSpPr>
            <xdr:cNvPr id="3074" name="Drop Down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20</xdr:row>
          <xdr:rowOff>9525</xdr:rowOff>
        </xdr:from>
        <xdr:to>
          <xdr:col>23</xdr:col>
          <xdr:colOff>9525</xdr:colOff>
          <xdr:row>22</xdr:row>
          <xdr:rowOff>104775</xdr:rowOff>
        </xdr:to>
        <xdr:sp macro="" textlink="">
          <xdr:nvSpPr>
            <xdr:cNvPr id="3075" name="Button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nl-NL" sz="1100" b="0" i="0" u="none" strike="noStrike" baseline="0">
                  <a:solidFill>
                    <a:srgbClr val="0000FF"/>
                  </a:solidFill>
                  <a:latin typeface="Calibri"/>
                </a:rPr>
                <a:t>&lt;= terug</a:t>
              </a:r>
            </a:p>
          </xdr:txBody>
        </xdr:sp>
        <xdr:clientData fPrintsWithSheet="0"/>
      </xdr:twoCellAnchor>
    </mc:Choice>
    <mc:Fallback/>
  </mc:AlternateContent>
  <xdr:twoCellAnchor editAs="oneCell">
    <xdr:from>
      <xdr:col>0</xdr:col>
      <xdr:colOff>133350</xdr:colOff>
      <xdr:row>17</xdr:row>
      <xdr:rowOff>114301</xdr:rowOff>
    </xdr:from>
    <xdr:to>
      <xdr:col>3</xdr:col>
      <xdr:colOff>852487</xdr:colOff>
      <xdr:row>26</xdr:row>
      <xdr:rowOff>123826</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133350" y="4276726"/>
          <a:ext cx="2547937" cy="1733550"/>
        </a:xfrm>
        <a:prstGeom prst="rect">
          <a:avLst/>
        </a:prstGeom>
      </xdr:spPr>
    </xdr:pic>
    <xdr:clientData/>
  </xdr:twoCellAnchor>
  <xdr:twoCellAnchor editAs="oneCell">
    <xdr:from>
      <xdr:col>10</xdr:col>
      <xdr:colOff>101947</xdr:colOff>
      <xdr:row>17</xdr:row>
      <xdr:rowOff>133350</xdr:rowOff>
    </xdr:from>
    <xdr:to>
      <xdr:col>15</xdr:col>
      <xdr:colOff>381000</xdr:colOff>
      <xdr:row>26</xdr:row>
      <xdr:rowOff>71438</xdr:rowOff>
    </xdr:to>
    <xdr:pic>
      <xdr:nvPicPr>
        <xdr:cNvPr id="4" name="Afbeelding 3"/>
        <xdr:cNvPicPr>
          <a:picLocks noChangeAspect="1"/>
        </xdr:cNvPicPr>
      </xdr:nvPicPr>
      <xdr:blipFill>
        <a:blip xmlns:r="http://schemas.openxmlformats.org/officeDocument/2006/relationships" r:embed="rId2"/>
        <a:stretch>
          <a:fillRect/>
        </a:stretch>
      </xdr:blipFill>
      <xdr:spPr>
        <a:xfrm>
          <a:off x="6426547" y="4295775"/>
          <a:ext cx="3031778" cy="1662113"/>
        </a:xfrm>
        <a:prstGeom prst="rect">
          <a:avLst/>
        </a:prstGeom>
      </xdr:spPr>
    </xdr:pic>
    <xdr:clientData/>
  </xdr:twoCellAnchor>
  <xdr:twoCellAnchor editAs="oneCell">
    <xdr:from>
      <xdr:col>4</xdr:col>
      <xdr:colOff>142285</xdr:colOff>
      <xdr:row>17</xdr:row>
      <xdr:rowOff>119063</xdr:rowOff>
    </xdr:from>
    <xdr:to>
      <xdr:col>7</xdr:col>
      <xdr:colOff>502298</xdr:colOff>
      <xdr:row>26</xdr:row>
      <xdr:rowOff>71438</xdr:rowOff>
    </xdr:to>
    <xdr:pic>
      <xdr:nvPicPr>
        <xdr:cNvPr id="5" name="Afbeelding 4"/>
        <xdr:cNvPicPr>
          <a:picLocks noChangeAspect="1"/>
        </xdr:cNvPicPr>
      </xdr:nvPicPr>
      <xdr:blipFill>
        <a:blip xmlns:r="http://schemas.openxmlformats.org/officeDocument/2006/relationships" r:embed="rId3"/>
        <a:stretch>
          <a:fillRect/>
        </a:stretch>
      </xdr:blipFill>
      <xdr:spPr>
        <a:xfrm>
          <a:off x="2933110" y="4281488"/>
          <a:ext cx="2360263" cy="1676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333375</xdr:colOff>
          <xdr:row>4</xdr:row>
          <xdr:rowOff>76200</xdr:rowOff>
        </xdr:from>
        <xdr:to>
          <xdr:col>14</xdr:col>
          <xdr:colOff>457200</xdr:colOff>
          <xdr:row>7</xdr:row>
          <xdr:rowOff>19050</xdr:rowOff>
        </xdr:to>
        <xdr:sp macro="" textlink="">
          <xdr:nvSpPr>
            <xdr:cNvPr id="3076" name="Option Button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Gemetselde buitengevel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333375</xdr:colOff>
          <xdr:row>7</xdr:row>
          <xdr:rowOff>180975</xdr:rowOff>
        </xdr:from>
        <xdr:to>
          <xdr:col>14</xdr:col>
          <xdr:colOff>561975</xdr:colOff>
          <xdr:row>9</xdr:row>
          <xdr:rowOff>114300</xdr:rowOff>
        </xdr:to>
        <xdr:sp macro="" textlink="">
          <xdr:nvSpPr>
            <xdr:cNvPr id="3077" name="Option Button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Gelijmde buitengevel</a:t>
              </a:r>
            </a:p>
          </xdr:txBody>
        </xdr:sp>
        <xdr:clientData fLocksWithSheet="0"/>
      </xdr:twoCellAnchor>
    </mc:Choice>
    <mc:Fallback/>
  </mc:AlternateContent>
  <xdr:twoCellAnchor editAs="oneCell">
    <xdr:from>
      <xdr:col>23</xdr:col>
      <xdr:colOff>523875</xdr:colOff>
      <xdr:row>17</xdr:row>
      <xdr:rowOff>180976</xdr:rowOff>
    </xdr:from>
    <xdr:to>
      <xdr:col>26</xdr:col>
      <xdr:colOff>180975</xdr:colOff>
      <xdr:row>24</xdr:row>
      <xdr:rowOff>38101</xdr:rowOff>
    </xdr:to>
    <xdr:pic>
      <xdr:nvPicPr>
        <xdr:cNvPr id="10" name="Afbeelding 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277975" y="4324351"/>
          <a:ext cx="1905000" cy="198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29</xdr:row>
      <xdr:rowOff>0</xdr:rowOff>
    </xdr:from>
    <xdr:to>
      <xdr:col>26</xdr:col>
      <xdr:colOff>600075</xdr:colOff>
      <xdr:row>29</xdr:row>
      <xdr:rowOff>9525</xdr:rowOff>
    </xdr:to>
    <xdr:cxnSp macro="">
      <xdr:nvCxnSpPr>
        <xdr:cNvPr id="11" name="Rechte verbindingslijn 10"/>
        <xdr:cNvCxnSpPr/>
      </xdr:nvCxnSpPr>
      <xdr:spPr>
        <a:xfrm>
          <a:off x="0" y="6543675"/>
          <a:ext cx="172878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b.nl/rekenhul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pageSetUpPr fitToPage="1"/>
  </sheetPr>
  <dimension ref="A2:V53"/>
  <sheetViews>
    <sheetView showGridLines="0" showRowColHeaders="0" tabSelected="1" workbookViewId="0">
      <selection activeCell="I2" sqref="I2:M2"/>
    </sheetView>
  </sheetViews>
  <sheetFormatPr defaultRowHeight="15" x14ac:dyDescent="0.25"/>
  <sheetData>
    <row r="2" spans="8:22" ht="21" x14ac:dyDescent="0.35">
      <c r="H2" s="35"/>
      <c r="I2" s="71" t="s">
        <v>101</v>
      </c>
      <c r="J2" s="71"/>
      <c r="K2" s="71"/>
      <c r="L2" s="71"/>
      <c r="M2" s="71"/>
    </row>
    <row r="3" spans="8:22" x14ac:dyDescent="0.25">
      <c r="V3" s="51"/>
    </row>
    <row r="7" spans="8:22" x14ac:dyDescent="0.25">
      <c r="I7" s="73" t="str">
        <f ca="1">IF($A$47&gt;$A$48,A49,"")</f>
        <v/>
      </c>
      <c r="J7" s="73"/>
      <c r="K7" s="73"/>
      <c r="L7" s="73"/>
      <c r="M7" s="73"/>
    </row>
    <row r="8" spans="8:22" x14ac:dyDescent="0.25">
      <c r="I8" s="73" t="str">
        <f ca="1">IF($A$47&gt;$A$48,A50,"")</f>
        <v/>
      </c>
      <c r="J8" s="73"/>
      <c r="K8" s="73"/>
      <c r="L8" s="73"/>
      <c r="M8" s="73"/>
    </row>
    <row r="9" spans="8:22" x14ac:dyDescent="0.25">
      <c r="I9" s="74" t="str">
        <f ca="1">IF($A$47&gt;$A$48,A51,"")</f>
        <v/>
      </c>
      <c r="J9" s="74"/>
      <c r="K9" s="74"/>
      <c r="L9" s="74"/>
      <c r="M9" s="74"/>
    </row>
    <row r="10" spans="8:22" x14ac:dyDescent="0.25">
      <c r="I10" s="73" t="str">
        <f ca="1">IF($A$47&gt;$A$48,A52,"")</f>
        <v/>
      </c>
      <c r="J10" s="73"/>
      <c r="K10" s="73"/>
      <c r="L10" s="73"/>
      <c r="M10" s="73"/>
    </row>
    <row r="26" spans="5:18" ht="15" customHeight="1" x14ac:dyDescent="0.25">
      <c r="E26" s="72" t="s">
        <v>186</v>
      </c>
      <c r="F26" s="72"/>
      <c r="G26" s="72"/>
      <c r="H26" s="72"/>
      <c r="I26" s="72"/>
      <c r="J26" s="72"/>
      <c r="K26" s="72"/>
      <c r="L26" s="72"/>
      <c r="M26" s="72"/>
      <c r="N26" s="72"/>
      <c r="O26" s="72"/>
      <c r="P26" s="72"/>
      <c r="Q26" s="72"/>
      <c r="R26" s="72"/>
    </row>
    <row r="27" spans="5:18" ht="15" customHeight="1" x14ac:dyDescent="0.25">
      <c r="E27" s="72"/>
      <c r="F27" s="72"/>
      <c r="G27" s="72"/>
      <c r="H27" s="72"/>
      <c r="I27" s="72"/>
      <c r="J27" s="72"/>
      <c r="K27" s="72"/>
      <c r="L27" s="72"/>
      <c r="M27" s="72"/>
      <c r="N27" s="72"/>
      <c r="O27" s="72"/>
      <c r="P27" s="72"/>
      <c r="Q27" s="72"/>
      <c r="R27" s="72"/>
    </row>
    <row r="28" spans="5:18" x14ac:dyDescent="0.25">
      <c r="E28" s="72"/>
      <c r="F28" s="72"/>
      <c r="G28" s="72"/>
      <c r="H28" s="72"/>
      <c r="I28" s="72"/>
      <c r="J28" s="72"/>
      <c r="K28" s="72"/>
      <c r="L28" s="72"/>
      <c r="M28" s="72"/>
      <c r="N28" s="72"/>
      <c r="O28" s="72"/>
      <c r="P28" s="72"/>
      <c r="Q28" s="72"/>
      <c r="R28" s="72"/>
    </row>
    <row r="29" spans="5:18" x14ac:dyDescent="0.25">
      <c r="E29" s="72"/>
      <c r="F29" s="72"/>
      <c r="G29" s="72"/>
      <c r="H29" s="72"/>
      <c r="I29" s="72"/>
      <c r="J29" s="72"/>
      <c r="K29" s="72"/>
      <c r="L29" s="72"/>
      <c r="M29" s="72"/>
      <c r="N29" s="72"/>
      <c r="O29" s="72"/>
      <c r="P29" s="72"/>
      <c r="Q29" s="72"/>
      <c r="R29" s="72"/>
    </row>
    <row r="30" spans="5:18" x14ac:dyDescent="0.25">
      <c r="E30" s="72"/>
      <c r="F30" s="72"/>
      <c r="G30" s="72"/>
      <c r="H30" s="72"/>
      <c r="I30" s="72"/>
      <c r="J30" s="72"/>
      <c r="K30" s="72"/>
      <c r="L30" s="72"/>
      <c r="M30" s="72"/>
      <c r="N30" s="72"/>
      <c r="O30" s="72"/>
      <c r="P30" s="72"/>
      <c r="Q30" s="72"/>
      <c r="R30" s="72"/>
    </row>
    <row r="44" spans="1:1" hidden="1" x14ac:dyDescent="0.25"/>
    <row r="45" spans="1:1" hidden="1" x14ac:dyDescent="0.25">
      <c r="A45" s="56">
        <v>42614</v>
      </c>
    </row>
    <row r="46" spans="1:1" hidden="1" x14ac:dyDescent="0.25">
      <c r="A46" s="56" t="str">
        <f ca="1">CONCATENATE(DAY(TODAY())&amp;"-",MONTH(TODAY())&amp;"-",YEAR(NOW()))</f>
        <v>13-9-2016</v>
      </c>
    </row>
    <row r="47" spans="1:1" hidden="1" x14ac:dyDescent="0.25">
      <c r="A47">
        <f ca="1">A46-A45</f>
        <v>12</v>
      </c>
    </row>
    <row r="48" spans="1:1" hidden="1" x14ac:dyDescent="0.25">
      <c r="A48">
        <v>400</v>
      </c>
    </row>
    <row r="49" spans="1:1" hidden="1" x14ac:dyDescent="0.25">
      <c r="A49" s="57" t="s">
        <v>183</v>
      </c>
    </row>
    <row r="50" spans="1:1" hidden="1" x14ac:dyDescent="0.25">
      <c r="A50" s="57" t="s">
        <v>180</v>
      </c>
    </row>
    <row r="51" spans="1:1" hidden="1" x14ac:dyDescent="0.25">
      <c r="A51" s="57" t="s">
        <v>181</v>
      </c>
    </row>
    <row r="52" spans="1:1" hidden="1" x14ac:dyDescent="0.25">
      <c r="A52" s="57" t="s">
        <v>182</v>
      </c>
    </row>
    <row r="53" spans="1:1" hidden="1" x14ac:dyDescent="0.25"/>
  </sheetData>
  <sheetProtection password="C565" sheet="1" objects="1" scenarios="1"/>
  <mergeCells count="6">
    <mergeCell ref="I2:M2"/>
    <mergeCell ref="E26:R30"/>
    <mergeCell ref="I7:M7"/>
    <mergeCell ref="I8:M8"/>
    <mergeCell ref="I9:M9"/>
    <mergeCell ref="I10:M10"/>
  </mergeCells>
  <hyperlinks>
    <hyperlink ref="I9:M9" r:id="rId1" display="http://www.gb.nl/rekenhulp"/>
  </hyperlinks>
  <pageMargins left="0.70866141732283472" right="0.70866141732283472" top="0.74803149606299213" bottom="0.74803149606299213" header="0.31496062992125984" footer="0.31496062992125984"/>
  <pageSetup paperSize="8" scale="7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1" r:id="rId5" name="Button 3">
              <controlPr defaultSize="0" print="0" autoFill="0" autoPict="0" macro="[0]!Flex">
                <anchor moveWithCells="1" sizeWithCells="1">
                  <from>
                    <xdr:col>3</xdr:col>
                    <xdr:colOff>0</xdr:colOff>
                    <xdr:row>3</xdr:row>
                    <xdr:rowOff>0</xdr:rowOff>
                  </from>
                  <to>
                    <xdr:col>6</xdr:col>
                    <xdr:colOff>590550</xdr:colOff>
                    <xdr:row>8</xdr:row>
                    <xdr:rowOff>180975</xdr:rowOff>
                  </to>
                </anchor>
              </controlPr>
            </control>
          </mc:Choice>
        </mc:AlternateContent>
        <mc:AlternateContent xmlns:mc="http://schemas.openxmlformats.org/markup-compatibility/2006">
          <mc:Choice Requires="x14">
            <control shapeId="2052" r:id="rId6" name="Button 4">
              <controlPr defaultSize="0" print="0" autoFill="0" autoPict="0" macro="[0]!Perfo">
                <anchor moveWithCells="1" sizeWithCells="1">
                  <from>
                    <xdr:col>14</xdr:col>
                    <xdr:colOff>142875</xdr:colOff>
                    <xdr:row>3</xdr:row>
                    <xdr:rowOff>19050</xdr:rowOff>
                  </from>
                  <to>
                    <xdr:col>18</xdr:col>
                    <xdr:colOff>123825</xdr:colOff>
                    <xdr:row>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pageSetUpPr fitToPage="1"/>
  </sheetPr>
  <dimension ref="A1:AY94"/>
  <sheetViews>
    <sheetView showGridLines="0" showRowColHeaders="0" zoomScaleNormal="100" workbookViewId="0">
      <selection sqref="A1:AA1"/>
    </sheetView>
  </sheetViews>
  <sheetFormatPr defaultRowHeight="15" x14ac:dyDescent="0.25"/>
  <cols>
    <col min="1" max="1" width="9.140625" style="28"/>
    <col min="3" max="3" width="9.140625" customWidth="1"/>
    <col min="4" max="4" width="14.42578125" style="1" customWidth="1"/>
    <col min="5" max="5" width="11.7109375" style="1" customWidth="1"/>
    <col min="6" max="6" width="9.140625" customWidth="1"/>
    <col min="9" max="9" width="4.7109375" customWidth="1"/>
    <col min="10" max="11" width="9.140625" customWidth="1"/>
    <col min="12" max="12" width="4.7109375" customWidth="1"/>
    <col min="14" max="16" width="9.140625" customWidth="1"/>
    <col min="20" max="22" width="9.140625" style="28"/>
    <col min="23" max="23" width="18.28515625" customWidth="1"/>
    <col min="24" max="24" width="6" customWidth="1"/>
    <col min="25" max="25" width="9.140625" customWidth="1"/>
    <col min="26" max="26" width="16.7109375" customWidth="1"/>
    <col min="28" max="28" width="16.7109375" customWidth="1"/>
    <col min="30" max="30" width="13" customWidth="1"/>
    <col min="31" max="31" width="11.5703125" style="30" bestFit="1" customWidth="1"/>
    <col min="32" max="33" width="9.140625" style="30"/>
    <col min="37" max="37" width="10.28515625" customWidth="1"/>
    <col min="38" max="38" width="13.42578125" customWidth="1"/>
    <col min="39" max="39" width="9.140625" customWidth="1"/>
    <col min="42" max="42" width="9.140625" customWidth="1"/>
    <col min="43" max="43" width="6.42578125" customWidth="1"/>
    <col min="44" max="44" width="12.140625" customWidth="1"/>
    <col min="45" max="45" width="15.5703125" customWidth="1"/>
    <col min="46" max="46" width="11.5703125" bestFit="1" customWidth="1"/>
    <col min="47" max="47" width="30.42578125" bestFit="1" customWidth="1"/>
  </cols>
  <sheetData>
    <row r="1" spans="1:33" s="51" customFormat="1" ht="22.5" thickTop="1" thickBot="1" x14ac:dyDescent="0.4">
      <c r="A1" s="83" t="s">
        <v>184</v>
      </c>
      <c r="B1" s="84"/>
      <c r="C1" s="84"/>
      <c r="D1" s="84"/>
      <c r="E1" s="84"/>
      <c r="F1" s="84"/>
      <c r="G1" s="84"/>
      <c r="H1" s="84"/>
      <c r="I1" s="84"/>
      <c r="J1" s="84"/>
      <c r="K1" s="84"/>
      <c r="L1" s="84"/>
      <c r="M1" s="84"/>
      <c r="N1" s="84"/>
      <c r="O1" s="84"/>
      <c r="P1" s="84"/>
      <c r="Q1" s="84"/>
      <c r="R1" s="84"/>
      <c r="S1" s="84"/>
      <c r="T1" s="84"/>
      <c r="U1" s="84"/>
      <c r="V1" s="84"/>
      <c r="W1" s="84"/>
      <c r="X1" s="84"/>
      <c r="Y1" s="84"/>
      <c r="Z1" s="84"/>
      <c r="AA1" s="85"/>
    </row>
    <row r="2" spans="1:33" ht="15.75" thickTop="1" x14ac:dyDescent="0.25">
      <c r="A2" s="8"/>
      <c r="B2" s="9"/>
      <c r="C2" s="10"/>
      <c r="D2" s="39"/>
      <c r="E2" s="9"/>
      <c r="F2" s="9"/>
      <c r="G2" s="9"/>
      <c r="H2" s="11"/>
      <c r="I2" s="9"/>
      <c r="J2" s="9"/>
      <c r="K2" s="9"/>
      <c r="L2" s="11"/>
      <c r="M2" s="9"/>
      <c r="N2" s="9"/>
      <c r="O2" s="11"/>
      <c r="P2" s="9"/>
      <c r="Q2" s="9"/>
      <c r="R2" s="11"/>
      <c r="S2" s="9"/>
      <c r="T2" s="9"/>
      <c r="U2" s="9"/>
      <c r="V2" s="9"/>
      <c r="W2" s="9"/>
      <c r="X2" s="9"/>
      <c r="Y2" s="9"/>
      <c r="Z2" s="9"/>
      <c r="AA2" s="11"/>
      <c r="AB2" s="6"/>
      <c r="AC2" s="6"/>
      <c r="AD2" s="6"/>
      <c r="AE2"/>
      <c r="AF2"/>
      <c r="AG2"/>
    </row>
    <row r="3" spans="1:33" ht="46.5" x14ac:dyDescent="0.7">
      <c r="A3" s="77" t="s">
        <v>18</v>
      </c>
      <c r="B3" s="78"/>
      <c r="C3" s="78"/>
      <c r="D3" s="79"/>
      <c r="E3" s="77" t="s">
        <v>15</v>
      </c>
      <c r="F3" s="78"/>
      <c r="G3" s="78"/>
      <c r="H3" s="79"/>
      <c r="I3" s="77" t="s">
        <v>178</v>
      </c>
      <c r="J3" s="78"/>
      <c r="K3" s="78"/>
      <c r="L3" s="79"/>
      <c r="M3" s="77" t="s">
        <v>103</v>
      </c>
      <c r="N3" s="78"/>
      <c r="O3" s="79"/>
      <c r="P3" s="77" t="s">
        <v>16</v>
      </c>
      <c r="Q3" s="78"/>
      <c r="R3" s="79"/>
      <c r="S3" s="76" t="s">
        <v>65</v>
      </c>
      <c r="T3" s="76"/>
      <c r="U3" s="76"/>
      <c r="V3" s="76"/>
      <c r="W3" s="6"/>
      <c r="X3" s="6"/>
      <c r="Y3" s="6"/>
      <c r="Z3" s="6"/>
      <c r="AA3" s="4"/>
      <c r="AB3" s="6"/>
      <c r="AC3" s="6"/>
      <c r="AD3" s="6"/>
      <c r="AE3"/>
      <c r="AF3"/>
      <c r="AG3"/>
    </row>
    <row r="4" spans="1:33" ht="31.5" x14ac:dyDescent="0.5">
      <c r="A4" s="12" t="s">
        <v>14</v>
      </c>
      <c r="B4" s="13" t="str">
        <f>VLOOKUP(B8,A54:D63,4)</f>
        <v>330100.0250</v>
      </c>
      <c r="C4" s="14"/>
      <c r="D4" s="40"/>
      <c r="E4" s="6"/>
      <c r="F4" s="6"/>
      <c r="G4" s="6"/>
      <c r="H4" s="4"/>
      <c r="I4" s="77" t="s">
        <v>179</v>
      </c>
      <c r="J4" s="78"/>
      <c r="K4" s="78"/>
      <c r="L4" s="79"/>
      <c r="M4" s="78"/>
      <c r="N4" s="78"/>
      <c r="O4" s="79"/>
      <c r="P4" s="77" t="s">
        <v>104</v>
      </c>
      <c r="Q4" s="78"/>
      <c r="R4" s="79"/>
      <c r="S4" s="6"/>
      <c r="T4" s="6"/>
      <c r="U4" s="6"/>
      <c r="V4" s="6"/>
      <c r="W4" s="6"/>
      <c r="X4" s="6"/>
      <c r="Y4" s="6"/>
      <c r="Z4" s="15"/>
      <c r="AA4" s="4"/>
      <c r="AB4" s="6"/>
      <c r="AC4" s="6"/>
      <c r="AD4" s="6"/>
      <c r="AE4"/>
      <c r="AF4"/>
      <c r="AG4"/>
    </row>
    <row r="5" spans="1:33" ht="15.75" x14ac:dyDescent="0.25">
      <c r="A5" s="12"/>
      <c r="B5" s="6"/>
      <c r="C5" s="14"/>
      <c r="D5" s="4"/>
      <c r="E5" s="6"/>
      <c r="F5" s="6"/>
      <c r="G5" s="6"/>
      <c r="H5" s="4"/>
      <c r="I5" s="6"/>
      <c r="J5" s="6"/>
      <c r="K5" s="6"/>
      <c r="L5" s="4"/>
      <c r="M5" s="6"/>
      <c r="N5" s="6"/>
      <c r="O5" s="4"/>
      <c r="P5" s="6"/>
      <c r="Q5" s="6"/>
      <c r="R5" s="4"/>
      <c r="S5" s="6"/>
      <c r="T5" s="15" t="s">
        <v>68</v>
      </c>
      <c r="U5" s="16" t="str">
        <f>$B$4</f>
        <v>330100.0250</v>
      </c>
      <c r="V5" s="16"/>
      <c r="W5" s="16" t="str">
        <f>$B$6</f>
        <v>UNI-Flexplug 100 iso 40-60  NY</v>
      </c>
      <c r="X5" s="16"/>
      <c r="Y5" s="16"/>
      <c r="Z5" s="50"/>
      <c r="AA5" s="4"/>
      <c r="AB5" s="6"/>
      <c r="AC5" s="6"/>
      <c r="AD5" s="6"/>
      <c r="AE5"/>
      <c r="AF5"/>
      <c r="AG5"/>
    </row>
    <row r="6" spans="1:33" ht="15.75" x14ac:dyDescent="0.25">
      <c r="A6" s="12"/>
      <c r="B6" s="13" t="str">
        <f>VLOOKUP(B8,A54:E63,5)</f>
        <v>UNI-Flexplug 100 iso 40-60  NY</v>
      </c>
      <c r="C6" s="14"/>
      <c r="D6" s="40"/>
      <c r="E6" s="6"/>
      <c r="F6" s="6"/>
      <c r="G6" s="6"/>
      <c r="H6" s="4"/>
      <c r="I6" s="6"/>
      <c r="L6" s="4"/>
      <c r="M6" s="6"/>
      <c r="N6" s="6"/>
      <c r="O6" s="4"/>
      <c r="P6" s="6"/>
      <c r="Q6" s="6"/>
      <c r="R6" s="4"/>
      <c r="S6" s="6"/>
      <c r="T6" s="33"/>
      <c r="U6" s="33"/>
      <c r="V6" s="33"/>
      <c r="W6" s="33"/>
      <c r="X6" s="33"/>
      <c r="Y6" s="33"/>
      <c r="Z6" s="16"/>
      <c r="AA6" s="4"/>
      <c r="AB6" s="16"/>
      <c r="AC6" s="16"/>
      <c r="AD6" s="6"/>
      <c r="AE6"/>
      <c r="AF6"/>
      <c r="AG6"/>
    </row>
    <row r="7" spans="1:33" ht="16.5" thickBot="1" x14ac:dyDescent="0.3">
      <c r="A7" s="12"/>
      <c r="B7" s="6"/>
      <c r="C7" s="14"/>
      <c r="D7" s="40"/>
      <c r="E7" s="6"/>
      <c r="F7" s="6"/>
      <c r="G7" s="6"/>
      <c r="H7" s="4"/>
      <c r="I7" s="6"/>
      <c r="J7" s="25" t="s">
        <v>12</v>
      </c>
      <c r="K7" s="25" t="s">
        <v>13</v>
      </c>
      <c r="L7" s="4"/>
      <c r="M7" s="6"/>
      <c r="N7" s="6"/>
      <c r="O7" s="4"/>
      <c r="P7" s="6"/>
      <c r="Q7" s="6"/>
      <c r="R7" s="4"/>
      <c r="S7" s="6"/>
      <c r="T7" s="32" t="s">
        <v>132</v>
      </c>
      <c r="U7" s="33" t="str">
        <f>VLOOKUP(B8,A54:G63,7)</f>
        <v>390000.0001</v>
      </c>
      <c r="V7" s="16"/>
      <c r="W7" s="16" t="str">
        <f>VLOOKUP(B8,A54:H63,8)</f>
        <v>Inslaghulpstuk tbv plug 45  EV</v>
      </c>
      <c r="X7" s="16"/>
      <c r="Y7" s="16"/>
      <c r="Z7" s="50"/>
      <c r="AA7" s="4"/>
      <c r="AB7" s="16"/>
      <c r="AC7" s="16"/>
      <c r="AD7" s="6"/>
      <c r="AE7"/>
      <c r="AF7"/>
      <c r="AG7"/>
    </row>
    <row r="8" spans="1:33" ht="15.75" x14ac:dyDescent="0.25">
      <c r="A8" s="12"/>
      <c r="B8" s="26">
        <v>1</v>
      </c>
      <c r="C8" s="6">
        <f>VLOOKUP(B8,A54:D63,2)</f>
        <v>100</v>
      </c>
      <c r="D8" s="40"/>
      <c r="F8" s="27">
        <v>1</v>
      </c>
      <c r="G8" s="13">
        <f>VLOOKUP($F$8,H70:I89,2)</f>
        <v>20</v>
      </c>
      <c r="H8" s="4"/>
      <c r="I8" s="6"/>
      <c r="J8" s="86">
        <v>45</v>
      </c>
      <c r="K8" s="86">
        <v>75</v>
      </c>
      <c r="L8" s="4"/>
      <c r="M8" s="6"/>
      <c r="O8" s="4"/>
      <c r="P8" s="6"/>
      <c r="Q8" s="6"/>
      <c r="R8" s="4"/>
      <c r="S8" s="12"/>
      <c r="T8" s="33"/>
      <c r="U8" s="33"/>
      <c r="V8" s="33"/>
      <c r="W8" s="16"/>
      <c r="X8" s="16"/>
      <c r="Y8" s="16"/>
      <c r="Z8" s="16"/>
      <c r="AA8" s="4"/>
      <c r="AB8" s="16"/>
      <c r="AC8" s="16"/>
      <c r="AD8" s="6"/>
      <c r="AE8"/>
      <c r="AF8"/>
      <c r="AG8"/>
    </row>
    <row r="9" spans="1:33" ht="16.5" thickBot="1" x14ac:dyDescent="0.3">
      <c r="A9" s="12"/>
      <c r="B9" s="6"/>
      <c r="C9" s="14"/>
      <c r="D9" s="40"/>
      <c r="E9" s="6"/>
      <c r="F9" s="6"/>
      <c r="G9" s="6"/>
      <c r="H9" s="4"/>
      <c r="I9" s="6"/>
      <c r="J9" s="87"/>
      <c r="K9" s="87"/>
      <c r="L9" s="4"/>
      <c r="M9" s="6"/>
      <c r="N9" s="6"/>
      <c r="O9" s="4"/>
      <c r="P9" s="6"/>
      <c r="Q9" s="6"/>
      <c r="R9" s="4"/>
      <c r="T9" s="33"/>
      <c r="U9" s="33"/>
      <c r="V9" s="33"/>
      <c r="W9" s="33"/>
      <c r="X9" s="33"/>
      <c r="Y9" s="33"/>
      <c r="Z9" s="16"/>
      <c r="AA9" s="4"/>
      <c r="AB9" s="16"/>
      <c r="AC9" s="16"/>
      <c r="AD9" s="6"/>
      <c r="AE9"/>
      <c r="AF9"/>
      <c r="AG9"/>
    </row>
    <row r="10" spans="1:33" ht="15.75" x14ac:dyDescent="0.25">
      <c r="A10" s="12"/>
      <c r="B10" s="6"/>
      <c r="C10" s="14"/>
      <c r="D10" s="40"/>
      <c r="E10" s="6"/>
      <c r="F10" s="6"/>
      <c r="G10" s="6"/>
      <c r="H10" s="4"/>
      <c r="I10" s="6"/>
      <c r="J10" s="6"/>
      <c r="K10" s="6"/>
      <c r="L10" s="4"/>
      <c r="M10" s="6"/>
      <c r="N10" s="6"/>
      <c r="O10" s="4"/>
      <c r="P10" s="6"/>
      <c r="Q10" s="6"/>
      <c r="R10" s="4"/>
      <c r="T10" s="46" t="str">
        <f>IF(Z48=0," ",CONCATENATE(AB48," buitenblad toepassing!"))</f>
        <v xml:space="preserve"> </v>
      </c>
      <c r="U10" s="33"/>
      <c r="V10" s="33"/>
      <c r="W10" s="33"/>
      <c r="X10" s="33"/>
      <c r="Y10" s="33"/>
      <c r="Z10" s="16"/>
      <c r="AA10" s="4"/>
      <c r="AB10" s="16"/>
      <c r="AC10" s="16"/>
      <c r="AD10" s="6"/>
      <c r="AE10"/>
      <c r="AF10"/>
      <c r="AG10"/>
    </row>
    <row r="11" spans="1:33" ht="15.75" x14ac:dyDescent="0.25">
      <c r="A11" s="12"/>
      <c r="B11" s="6"/>
      <c r="C11" s="14"/>
      <c r="D11" s="40"/>
      <c r="E11" s="6"/>
      <c r="F11" s="6"/>
      <c r="G11" s="6"/>
      <c r="H11" s="4"/>
      <c r="I11" s="6"/>
      <c r="J11" s="6"/>
      <c r="K11" s="6"/>
      <c r="L11" s="4"/>
      <c r="M11" s="6"/>
      <c r="N11" s="6"/>
      <c r="O11" s="4"/>
      <c r="P11" s="6"/>
      <c r="Q11" s="6"/>
      <c r="R11" s="4"/>
      <c r="T11" s="32" t="str">
        <f>IF(Z48=0," ","Anker:")</f>
        <v xml:space="preserve"> </v>
      </c>
      <c r="U11" s="33" t="str">
        <f>IF($Z$48=0,"",IF($Z$48=1,Y72,AE72))</f>
        <v/>
      </c>
      <c r="V11" s="33"/>
      <c r="W11" s="33" t="str">
        <f>IF($Z$48=0,"",IF($Z$48=1,AA72,AG72))</f>
        <v/>
      </c>
      <c r="X11" s="33"/>
      <c r="Y11" s="33"/>
      <c r="Z11" s="50"/>
      <c r="AA11" s="4"/>
      <c r="AB11" s="6"/>
      <c r="AC11" s="6"/>
      <c r="AD11" s="6"/>
      <c r="AE11"/>
      <c r="AF11"/>
      <c r="AG11"/>
    </row>
    <row r="12" spans="1:33" ht="21" x14ac:dyDescent="0.35">
      <c r="A12" s="12"/>
      <c r="B12" s="6"/>
      <c r="C12" s="17">
        <f>VLOOKUP(B8,A54:D63,2)</f>
        <v>100</v>
      </c>
      <c r="D12" s="40"/>
      <c r="E12" s="6"/>
      <c r="F12" s="6"/>
      <c r="G12" s="18">
        <f>VLOOKUP($F$8,H70:I89,2)</f>
        <v>20</v>
      </c>
      <c r="H12" s="4"/>
      <c r="I12" s="6"/>
      <c r="J12" s="82" t="str">
        <f>CONCATENATE(J8," - ",K8)</f>
        <v>45 - 75</v>
      </c>
      <c r="K12" s="82"/>
      <c r="L12" s="53"/>
      <c r="O12" s="7"/>
      <c r="P12" s="20">
        <f>C12+G12+J8</f>
        <v>165</v>
      </c>
      <c r="Q12" s="29" t="s">
        <v>17</v>
      </c>
      <c r="R12" s="36">
        <f>C12+G12+K8</f>
        <v>195</v>
      </c>
      <c r="S12" s="12"/>
      <c r="T12" s="32" t="str">
        <f>IF($Z$48=0,"","Hulpstuk:")</f>
        <v/>
      </c>
      <c r="U12" s="33" t="str">
        <f>IF(U13="Voor deze maat is geen anker beschikbaar!","",IF(Z48=0,"",(IF(Z48=2,"39012.0001",IF(AK60=1,AK63,"")))))</f>
        <v/>
      </c>
      <c r="V12" s="47"/>
      <c r="W12" s="33" t="str">
        <f>IF(U13="Voor deze maat is geen anker beschikbaar!","",IF(Z48=0,"",IF(Z48=2,"Indraaihulpstuk EV",AM63)))</f>
        <v/>
      </c>
      <c r="X12" s="47"/>
      <c r="Y12" s="47"/>
      <c r="Z12" s="50"/>
      <c r="AA12" s="4"/>
      <c r="AB12" s="6"/>
      <c r="AC12" s="6"/>
      <c r="AD12" s="6"/>
      <c r="AE12"/>
      <c r="AF12"/>
      <c r="AG12"/>
    </row>
    <row r="13" spans="1:33" ht="15.75" customHeight="1" x14ac:dyDescent="0.25">
      <c r="A13" s="12"/>
      <c r="B13" s="6"/>
      <c r="C13" s="14"/>
      <c r="D13" s="40"/>
      <c r="E13" s="6"/>
      <c r="F13" s="6"/>
      <c r="G13" s="6"/>
      <c r="H13" s="4"/>
      <c r="I13" s="6"/>
      <c r="J13" s="6"/>
      <c r="K13" s="6"/>
      <c r="L13" s="4"/>
      <c r="M13" s="80" t="str">
        <f>IF(Z48=0,"kies hier voor een gemetselde of een gelijmde buitengevel!","")</f>
        <v>kies hier voor een gemetselde of een gelijmde buitengevel!</v>
      </c>
      <c r="N13" s="80"/>
      <c r="O13" s="81"/>
      <c r="P13" s="6"/>
      <c r="Q13" s="6"/>
      <c r="R13" s="4"/>
      <c r="S13" s="6"/>
      <c r="T13" s="33"/>
      <c r="U13" s="75" t="str">
        <f>IF($Z$48=0,"Kies eerst gemetselde of gelijmde buitengevel bij buitenblad!",IF($Z$48=1,Y73,AE73))</f>
        <v>Kies eerst gemetselde of gelijmde buitengevel bij buitenblad!</v>
      </c>
      <c r="V13" s="75"/>
      <c r="W13" s="75"/>
      <c r="X13" s="75"/>
      <c r="Y13" s="75"/>
      <c r="Z13" s="75"/>
      <c r="AA13" s="4"/>
      <c r="AB13" s="6"/>
      <c r="AC13" s="6"/>
      <c r="AD13" s="6"/>
      <c r="AE13"/>
      <c r="AF13"/>
      <c r="AG13"/>
    </row>
    <row r="14" spans="1:33" ht="15.75" x14ac:dyDescent="0.25">
      <c r="A14" s="12"/>
      <c r="B14" s="6"/>
      <c r="C14" s="14"/>
      <c r="D14" s="40"/>
      <c r="E14" s="6"/>
      <c r="F14" s="6"/>
      <c r="G14" s="6"/>
      <c r="H14" s="4"/>
      <c r="I14" s="6"/>
      <c r="J14" s="6"/>
      <c r="K14" s="6"/>
      <c r="L14" s="4"/>
      <c r="M14" s="80"/>
      <c r="N14" s="80"/>
      <c r="O14" s="81"/>
      <c r="P14" s="6"/>
      <c r="Q14" s="6"/>
      <c r="R14" s="4"/>
      <c r="S14" s="6"/>
      <c r="T14" s="32" t="str">
        <f>IF(Z48=0," ",IF(X67=2,"Anker:",""))</f>
        <v xml:space="preserve"> </v>
      </c>
      <c r="U14" s="33" t="str">
        <f>IF($Z$48=0,"",IF($Z$48=1,Y74,AE74))</f>
        <v/>
      </c>
      <c r="V14" s="33"/>
      <c r="W14" s="33" t="str">
        <f>IF($Z$48=0,"",IF(Z48=1,AA74,AG74))</f>
        <v/>
      </c>
      <c r="X14" s="33"/>
      <c r="Y14" s="33"/>
      <c r="Z14" s="50"/>
      <c r="AA14" s="4"/>
      <c r="AB14" s="6"/>
      <c r="AC14" s="6"/>
      <c r="AD14" s="6"/>
      <c r="AE14"/>
      <c r="AF14"/>
      <c r="AG14"/>
    </row>
    <row r="15" spans="1:33" s="3" customFormat="1" ht="15.75" x14ac:dyDescent="0.25">
      <c r="A15" s="12"/>
      <c r="B15" s="6"/>
      <c r="C15" s="14"/>
      <c r="D15" s="40"/>
      <c r="E15" s="6"/>
      <c r="F15" s="6"/>
      <c r="G15" s="6"/>
      <c r="H15" s="4"/>
      <c r="I15" s="6"/>
      <c r="J15" s="6"/>
      <c r="K15" s="6"/>
      <c r="L15" s="4"/>
      <c r="M15" s="80"/>
      <c r="N15" s="80"/>
      <c r="O15" s="81"/>
      <c r="P15" s="6"/>
      <c r="Q15" s="6"/>
      <c r="R15" s="4"/>
      <c r="S15" s="6"/>
      <c r="T15" s="32" t="str">
        <f>IF(Z48=0," ",IF(X67=2,"Hulpstuk:",""))</f>
        <v xml:space="preserve"> </v>
      </c>
      <c r="U15" s="33" t="str">
        <f>IF(U13="Voor deze maat is geen anker beschikbaar!","",IF(X67=1,"",IF(Z48=0,"",(IF(Z48=2,"39012.0001",IF(Z48=0,"",IF(AS60=1,AS63,"")))))))</f>
        <v/>
      </c>
      <c r="V15" s="47"/>
      <c r="W15" s="33" t="str">
        <f>IF(U13="Voor deze maat is geen anker beschikbaar!","",IF(Z48=0,"",(IF(Z48=2,"Indraaihulpstuk EV",IF(Z48=0,"",IF(AS60=1,AU63,""))))))</f>
        <v/>
      </c>
      <c r="X15" s="47"/>
      <c r="Y15" s="47"/>
      <c r="Z15" s="50"/>
      <c r="AA15" s="4"/>
      <c r="AB15" s="6"/>
      <c r="AC15" s="6"/>
      <c r="AD15" s="6"/>
    </row>
    <row r="16" spans="1:33" s="51" customFormat="1" ht="15.75" x14ac:dyDescent="0.25">
      <c r="A16" s="12"/>
      <c r="B16" s="6"/>
      <c r="C16" s="14"/>
      <c r="D16" s="40"/>
      <c r="E16" s="6"/>
      <c r="F16" s="6"/>
      <c r="G16" s="6"/>
      <c r="H16" s="4"/>
      <c r="I16" s="6"/>
      <c r="J16" s="6"/>
      <c r="K16" s="6"/>
      <c r="L16" s="4"/>
      <c r="M16" s="6"/>
      <c r="N16" s="6"/>
      <c r="O16" s="4"/>
      <c r="P16" s="6"/>
      <c r="Q16" s="6"/>
      <c r="R16" s="4"/>
      <c r="S16" s="6"/>
      <c r="T16" s="59"/>
      <c r="U16" s="60"/>
      <c r="V16" s="60"/>
      <c r="W16" s="60"/>
      <c r="X16" s="60"/>
      <c r="Y16" s="60"/>
      <c r="Z16" s="61"/>
      <c r="AA16" s="4"/>
      <c r="AB16" s="6"/>
      <c r="AC16" s="6"/>
      <c r="AD16" s="6"/>
    </row>
    <row r="17" spans="1:33" ht="15.75" thickBot="1" x14ac:dyDescent="0.3">
      <c r="A17" s="21"/>
      <c r="B17" s="22"/>
      <c r="C17" s="23"/>
      <c r="D17" s="52"/>
      <c r="E17" s="22"/>
      <c r="F17" s="22"/>
      <c r="G17" s="22"/>
      <c r="H17" s="24"/>
      <c r="I17" s="22"/>
      <c r="J17" s="22"/>
      <c r="K17" s="22"/>
      <c r="L17" s="24"/>
      <c r="M17" s="22"/>
      <c r="N17" s="22"/>
      <c r="O17" s="24"/>
      <c r="P17" s="22"/>
      <c r="Q17" s="22"/>
      <c r="R17" s="24"/>
      <c r="S17" s="22"/>
      <c r="T17" s="22"/>
      <c r="U17" s="22"/>
      <c r="V17" s="22"/>
      <c r="W17" s="22"/>
      <c r="X17" s="22"/>
      <c r="Y17" s="22"/>
      <c r="Z17" s="22"/>
      <c r="AA17" s="24"/>
      <c r="AB17" s="6"/>
      <c r="AC17" s="6"/>
      <c r="AD17" s="6"/>
      <c r="AE17"/>
      <c r="AF17"/>
      <c r="AG17"/>
    </row>
    <row r="18" spans="1:33" ht="15.75" thickTop="1" x14ac:dyDescent="0.25">
      <c r="A18"/>
      <c r="C18" s="1"/>
      <c r="D18" s="54"/>
      <c r="E18"/>
      <c r="H18" s="44"/>
      <c r="J18" s="6"/>
      <c r="O18" s="6"/>
      <c r="P18" s="6"/>
      <c r="R18" s="44"/>
      <c r="S18" s="6"/>
      <c r="T18" s="6"/>
      <c r="U18" s="6"/>
      <c r="V18"/>
      <c r="AA18" s="44"/>
      <c r="AB18" s="6"/>
      <c r="AC18" s="6"/>
      <c r="AD18" s="6"/>
      <c r="AG18"/>
    </row>
    <row r="19" spans="1:33" s="5" customFormat="1" x14ac:dyDescent="0.25">
      <c r="C19" s="1"/>
      <c r="D19" s="41"/>
      <c r="H19" s="42"/>
      <c r="J19" s="6"/>
      <c r="O19" s="6"/>
      <c r="P19" s="6"/>
      <c r="R19" s="42"/>
      <c r="S19" s="6"/>
      <c r="T19" s="6"/>
      <c r="AA19" s="42"/>
      <c r="AD19" s="30"/>
      <c r="AE19" s="30"/>
      <c r="AF19" s="30"/>
    </row>
    <row r="20" spans="1:33" s="5" customFormat="1" x14ac:dyDescent="0.25">
      <c r="C20" s="1"/>
      <c r="D20" s="41"/>
      <c r="H20" s="42"/>
      <c r="J20" s="6"/>
      <c r="O20" s="6"/>
      <c r="P20" s="6"/>
      <c r="R20" s="42"/>
      <c r="S20" s="6"/>
      <c r="T20" s="6"/>
      <c r="U20" s="6"/>
      <c r="AA20" s="42"/>
      <c r="AD20" s="30"/>
      <c r="AE20" s="30"/>
      <c r="AF20" s="30"/>
    </row>
    <row r="21" spans="1:33" s="5" customFormat="1" x14ac:dyDescent="0.25">
      <c r="C21" s="1"/>
      <c r="D21" s="41"/>
      <c r="H21" s="42"/>
      <c r="J21" s="6"/>
      <c r="O21" s="6"/>
      <c r="P21" s="6"/>
      <c r="R21" s="42"/>
      <c r="S21" s="6"/>
      <c r="T21" s="6"/>
      <c r="U21" s="6"/>
      <c r="AA21" s="42"/>
      <c r="AD21" s="30"/>
      <c r="AE21" s="30"/>
      <c r="AF21" s="30"/>
    </row>
    <row r="22" spans="1:33" s="5" customFormat="1" x14ac:dyDescent="0.25">
      <c r="C22" s="1"/>
      <c r="D22" s="41"/>
      <c r="H22" s="42"/>
      <c r="J22" s="6"/>
      <c r="O22" s="6"/>
      <c r="P22" s="6"/>
      <c r="R22" s="42"/>
      <c r="S22" s="6"/>
      <c r="T22" s="6"/>
      <c r="U22" s="6"/>
      <c r="AA22" s="42"/>
      <c r="AD22" s="30"/>
      <c r="AE22" s="30"/>
      <c r="AF22" s="30"/>
    </row>
    <row r="23" spans="1:33" s="5" customFormat="1" x14ac:dyDescent="0.25">
      <c r="C23" s="1"/>
      <c r="D23" s="41"/>
      <c r="H23" s="42"/>
      <c r="J23" s="6"/>
      <c r="O23" s="6"/>
      <c r="P23" s="6"/>
      <c r="R23" s="42"/>
      <c r="S23" s="6"/>
      <c r="T23" s="6"/>
      <c r="U23" s="6"/>
      <c r="AA23" s="42"/>
      <c r="AD23" s="30"/>
      <c r="AE23" s="30"/>
      <c r="AF23" s="30"/>
    </row>
    <row r="24" spans="1:33" s="5" customFormat="1" x14ac:dyDescent="0.25">
      <c r="C24" s="1"/>
      <c r="D24" s="41"/>
      <c r="H24" s="42"/>
      <c r="J24" s="6"/>
      <c r="O24" s="6"/>
      <c r="P24" s="6"/>
      <c r="R24" s="42"/>
      <c r="S24" s="6"/>
      <c r="T24" s="6"/>
      <c r="U24" s="6"/>
      <c r="AA24" s="42"/>
      <c r="AD24" s="30"/>
      <c r="AE24" s="30"/>
      <c r="AF24" s="30"/>
    </row>
    <row r="25" spans="1:33" s="5" customFormat="1" x14ac:dyDescent="0.25">
      <c r="C25" s="1"/>
      <c r="D25" s="41"/>
      <c r="H25" s="42"/>
      <c r="J25" s="6"/>
      <c r="O25" s="6"/>
      <c r="P25" s="6"/>
      <c r="R25" s="42"/>
      <c r="S25" s="6"/>
      <c r="T25" s="6"/>
      <c r="U25" s="6"/>
      <c r="AA25" s="42"/>
      <c r="AD25" s="30"/>
      <c r="AE25" s="30"/>
      <c r="AF25" s="30"/>
    </row>
    <row r="26" spans="1:33" s="5" customFormat="1" x14ac:dyDescent="0.25">
      <c r="C26" s="1"/>
      <c r="D26" s="41"/>
      <c r="H26" s="42"/>
      <c r="J26" s="6"/>
      <c r="O26" s="6"/>
      <c r="P26" s="6"/>
      <c r="R26" s="42"/>
      <c r="S26" s="6"/>
      <c r="T26" s="6"/>
      <c r="U26" s="6"/>
      <c r="AA26" s="42"/>
      <c r="AD26" s="30"/>
      <c r="AE26" s="30"/>
      <c r="AF26" s="30"/>
    </row>
    <row r="27" spans="1:33" s="5" customFormat="1" x14ac:dyDescent="0.25">
      <c r="C27" s="1"/>
      <c r="D27" s="41"/>
      <c r="H27" s="42"/>
      <c r="J27" s="6"/>
      <c r="O27" s="6"/>
      <c r="P27" s="6"/>
      <c r="R27" s="42"/>
      <c r="S27" s="6"/>
      <c r="T27" s="6"/>
      <c r="U27" s="6"/>
      <c r="AA27" s="42"/>
      <c r="AD27" s="30"/>
      <c r="AE27" s="30"/>
      <c r="AF27" s="30"/>
    </row>
    <row r="28" spans="1:33" s="5" customFormat="1" x14ac:dyDescent="0.25">
      <c r="C28" s="1"/>
      <c r="D28" s="41"/>
      <c r="H28" s="42"/>
      <c r="J28" s="6"/>
      <c r="O28" s="6"/>
      <c r="P28" s="6"/>
      <c r="R28" s="42"/>
      <c r="S28" s="6"/>
      <c r="T28" s="6"/>
      <c r="U28" s="6"/>
      <c r="AA28" s="42"/>
      <c r="AD28" s="30"/>
      <c r="AE28" s="30"/>
      <c r="AF28" s="30"/>
    </row>
    <row r="29" spans="1:33" s="5" customFormat="1" ht="21.75" customHeight="1" x14ac:dyDescent="0.25">
      <c r="A29" s="28"/>
      <c r="D29" s="41"/>
      <c r="E29" s="1"/>
      <c r="H29" s="42"/>
      <c r="K29" s="6"/>
      <c r="P29" s="6"/>
      <c r="Q29" s="6"/>
      <c r="R29" s="42"/>
      <c r="S29" s="6"/>
      <c r="T29" s="6"/>
      <c r="U29" s="6"/>
      <c r="V29" s="6"/>
      <c r="AA29" s="42"/>
      <c r="AE29" s="30"/>
      <c r="AF29" s="30"/>
      <c r="AG29" s="30"/>
    </row>
    <row r="30" spans="1:33" s="5" customFormat="1" ht="21.75" customHeight="1" x14ac:dyDescent="0.25">
      <c r="A30" s="28"/>
      <c r="D30" s="1"/>
      <c r="E30" s="1"/>
      <c r="K30" s="6"/>
      <c r="P30" s="6"/>
      <c r="Q30" s="6"/>
      <c r="S30" s="6"/>
      <c r="T30" s="6"/>
      <c r="U30" s="6"/>
      <c r="V30" s="6"/>
      <c r="AE30" s="30"/>
      <c r="AF30" s="30"/>
      <c r="AG30" s="30"/>
    </row>
    <row r="31" spans="1:33" s="5" customFormat="1" ht="21.75" customHeight="1" x14ac:dyDescent="0.25">
      <c r="A31" s="28"/>
      <c r="D31" s="1"/>
      <c r="E31" s="67"/>
      <c r="F31" s="63"/>
      <c r="G31" s="63"/>
      <c r="H31" s="63"/>
      <c r="I31" s="65"/>
      <c r="J31" s="63"/>
      <c r="K31" s="66"/>
      <c r="L31" s="65"/>
      <c r="M31" s="63"/>
      <c r="N31" s="63"/>
      <c r="O31" s="63"/>
      <c r="P31" s="64"/>
      <c r="Q31" s="68"/>
      <c r="R31" s="63"/>
      <c r="S31" s="6"/>
      <c r="T31" s="6"/>
      <c r="U31" s="6"/>
      <c r="V31" s="6"/>
      <c r="AE31" s="30"/>
      <c r="AF31" s="30"/>
      <c r="AG31" s="30"/>
    </row>
    <row r="32" spans="1:33" s="5" customFormat="1" ht="21.75" customHeight="1" x14ac:dyDescent="0.25">
      <c r="A32" s="28"/>
      <c r="D32" s="1"/>
      <c r="E32" s="69"/>
      <c r="F32" s="63"/>
      <c r="G32" s="63"/>
      <c r="H32" s="63"/>
      <c r="I32" s="63"/>
      <c r="J32" s="65"/>
      <c r="K32" s="66"/>
      <c r="L32" s="65"/>
      <c r="M32" s="63"/>
      <c r="N32" s="63"/>
      <c r="O32" s="63"/>
      <c r="P32" s="64"/>
      <c r="Q32" s="64"/>
      <c r="R32" s="63"/>
      <c r="S32" s="6"/>
      <c r="T32" s="6"/>
      <c r="U32" s="6"/>
      <c r="V32" s="6"/>
      <c r="AE32" s="30"/>
      <c r="AF32" s="30"/>
      <c r="AG32" s="30"/>
    </row>
    <row r="33" spans="1:33" s="5" customFormat="1" ht="21.75" customHeight="1" x14ac:dyDescent="0.25">
      <c r="A33" s="28"/>
      <c r="D33" s="1"/>
      <c r="E33" s="69"/>
      <c r="F33" s="63"/>
      <c r="G33" s="63"/>
      <c r="H33" s="63"/>
      <c r="I33" s="63"/>
      <c r="J33" s="65"/>
      <c r="K33" s="66"/>
      <c r="L33" s="65"/>
      <c r="M33" s="63"/>
      <c r="N33" s="63"/>
      <c r="O33" s="63"/>
      <c r="P33" s="64"/>
      <c r="Q33" s="64"/>
      <c r="R33" s="63"/>
      <c r="S33" s="6"/>
      <c r="T33" s="6"/>
      <c r="U33" s="6"/>
      <c r="V33" s="6"/>
      <c r="AE33" s="30"/>
      <c r="AF33" s="30"/>
      <c r="AG33" s="30"/>
    </row>
    <row r="34" spans="1:33" s="5" customFormat="1" ht="21.75" customHeight="1" x14ac:dyDescent="0.25">
      <c r="A34" s="28"/>
      <c r="D34" s="1"/>
      <c r="E34" s="69"/>
      <c r="F34" s="63"/>
      <c r="G34" s="63"/>
      <c r="H34" s="63"/>
      <c r="I34" s="63"/>
      <c r="J34" s="63"/>
      <c r="K34" s="63"/>
      <c r="L34" s="63"/>
      <c r="M34" s="63"/>
      <c r="N34" s="63"/>
      <c r="O34" s="63"/>
      <c r="P34" s="64"/>
      <c r="Q34" s="64"/>
      <c r="R34" s="63"/>
      <c r="S34" s="6"/>
      <c r="T34" s="6"/>
      <c r="U34" s="6"/>
      <c r="V34" s="6"/>
      <c r="AE34" s="30"/>
      <c r="AF34" s="30"/>
      <c r="AG34" s="30"/>
    </row>
    <row r="35" spans="1:33" s="5" customFormat="1" ht="21.75" customHeight="1" x14ac:dyDescent="0.25">
      <c r="A35" s="28"/>
      <c r="D35" s="1"/>
      <c r="E35" s="69"/>
      <c r="F35" s="63"/>
      <c r="G35" s="63"/>
      <c r="H35" s="63"/>
      <c r="I35" s="63"/>
      <c r="J35" s="63"/>
      <c r="K35" s="63"/>
      <c r="L35" s="63"/>
      <c r="M35" s="63"/>
      <c r="N35" s="63"/>
      <c r="O35" s="63"/>
      <c r="P35" s="64"/>
      <c r="Q35" s="64"/>
      <c r="R35" s="63"/>
      <c r="S35" s="6"/>
      <c r="T35" s="6"/>
      <c r="U35" s="6"/>
      <c r="V35" s="6"/>
      <c r="AE35" s="30"/>
      <c r="AF35" s="30"/>
      <c r="AG35" s="30"/>
    </row>
    <row r="36" spans="1:33" s="5" customFormat="1" ht="21.75" customHeight="1" x14ac:dyDescent="0.25">
      <c r="A36" s="28"/>
      <c r="D36" s="1"/>
      <c r="E36" s="1"/>
      <c r="P36" s="6"/>
      <c r="Q36" s="6"/>
      <c r="S36" s="6"/>
      <c r="T36" s="6"/>
      <c r="U36" s="6"/>
      <c r="V36" s="6"/>
      <c r="AE36" s="30"/>
      <c r="AF36" s="30"/>
      <c r="AG36" s="30"/>
    </row>
    <row r="37" spans="1:33" s="5" customFormat="1" ht="21.75" customHeight="1" x14ac:dyDescent="0.25">
      <c r="A37" s="28"/>
      <c r="D37" s="1"/>
      <c r="E37" s="1"/>
      <c r="K37" s="6"/>
      <c r="P37" s="6"/>
      <c r="Q37" s="6"/>
      <c r="S37" s="6"/>
      <c r="T37" s="6"/>
      <c r="U37" s="6"/>
      <c r="V37" s="6"/>
      <c r="AE37" s="30"/>
      <c r="AF37" s="30"/>
      <c r="AG37" s="30"/>
    </row>
    <row r="38" spans="1:33" s="5" customFormat="1" ht="21.75" customHeight="1" x14ac:dyDescent="0.25">
      <c r="A38" s="28"/>
      <c r="D38" s="1"/>
      <c r="E38" s="1"/>
      <c r="K38" s="6"/>
      <c r="P38" s="6"/>
      <c r="Q38" s="6"/>
      <c r="S38" s="6"/>
      <c r="T38" s="6"/>
      <c r="U38" s="6"/>
      <c r="V38" s="6"/>
      <c r="AE38" s="30"/>
      <c r="AF38" s="30"/>
      <c r="AG38" s="30"/>
    </row>
    <row r="39" spans="1:33" s="5" customFormat="1" ht="21.75" customHeight="1" x14ac:dyDescent="0.25">
      <c r="A39" s="28"/>
      <c r="D39" s="1"/>
      <c r="E39" s="1"/>
      <c r="K39" s="6"/>
      <c r="P39" s="6"/>
      <c r="Q39" s="6"/>
      <c r="S39" s="6"/>
      <c r="T39" s="6"/>
      <c r="U39" s="6"/>
      <c r="V39" s="6"/>
      <c r="AE39" s="30"/>
      <c r="AF39" s="30"/>
      <c r="AG39" s="30"/>
    </row>
    <row r="40" spans="1:33" s="5" customFormat="1" ht="21.75" customHeight="1" x14ac:dyDescent="0.25">
      <c r="A40" s="28"/>
      <c r="D40" s="1"/>
      <c r="E40" s="1"/>
      <c r="K40" s="6"/>
      <c r="P40" s="6"/>
      <c r="Q40" s="6"/>
      <c r="S40" s="6"/>
      <c r="T40" s="6"/>
      <c r="U40" s="6"/>
      <c r="V40" s="6"/>
      <c r="AE40" s="30"/>
      <c r="AF40" s="30"/>
      <c r="AG40" s="30"/>
    </row>
    <row r="41" spans="1:33" s="5" customFormat="1" ht="21.75" customHeight="1" x14ac:dyDescent="0.25">
      <c r="A41" s="28"/>
      <c r="D41" s="1"/>
      <c r="E41" s="1"/>
      <c r="K41" s="6"/>
      <c r="P41" s="6"/>
      <c r="Q41" s="6"/>
      <c r="S41" s="6"/>
      <c r="T41" s="6"/>
      <c r="U41" s="6"/>
      <c r="V41" s="6"/>
      <c r="AE41" s="30"/>
      <c r="AF41" s="30"/>
      <c r="AG41" s="30"/>
    </row>
    <row r="42" spans="1:33" s="5" customFormat="1" ht="21.75" customHeight="1" x14ac:dyDescent="0.25">
      <c r="A42" s="28"/>
      <c r="D42" s="1"/>
      <c r="E42" s="1"/>
      <c r="K42" s="6"/>
      <c r="P42" s="6"/>
      <c r="Q42" s="6"/>
      <c r="S42" s="6"/>
      <c r="T42" s="6"/>
      <c r="U42" s="6"/>
      <c r="V42" s="6"/>
      <c r="AE42" s="30"/>
      <c r="AF42" s="30"/>
      <c r="AG42" s="30"/>
    </row>
    <row r="43" spans="1:33" s="5" customFormat="1" ht="21.75" customHeight="1" x14ac:dyDescent="0.25">
      <c r="A43" s="28"/>
      <c r="D43" s="1"/>
      <c r="E43" s="1"/>
      <c r="K43" s="6"/>
      <c r="P43" s="6"/>
      <c r="Q43" s="6"/>
      <c r="S43" s="6"/>
      <c r="T43" s="6"/>
      <c r="U43" s="6"/>
      <c r="V43" s="6"/>
      <c r="AE43" s="30"/>
      <c r="AF43" s="30"/>
      <c r="AG43" s="30"/>
    </row>
    <row r="44" spans="1:33" s="5" customFormat="1" ht="21.75" customHeight="1" x14ac:dyDescent="0.25">
      <c r="A44" s="28"/>
      <c r="D44" s="1"/>
      <c r="E44" s="1"/>
      <c r="K44" s="6"/>
      <c r="P44" s="6"/>
      <c r="Q44" s="6"/>
      <c r="S44" s="6"/>
      <c r="T44" s="6"/>
      <c r="V44" s="6"/>
      <c r="AE44" s="30"/>
      <c r="AF44" s="30"/>
      <c r="AG44" s="30"/>
    </row>
    <row r="45" spans="1:33" s="5" customFormat="1" ht="21.75" customHeight="1" x14ac:dyDescent="0.25">
      <c r="A45" s="28"/>
      <c r="D45" s="1"/>
      <c r="E45" s="1"/>
      <c r="K45" s="6"/>
      <c r="P45" s="6"/>
      <c r="Q45" s="6"/>
      <c r="S45" s="6"/>
      <c r="T45" s="6"/>
      <c r="U45" s="6"/>
      <c r="V45" s="6"/>
      <c r="AE45" s="30"/>
      <c r="AF45" s="30"/>
      <c r="AG45" s="30"/>
    </row>
    <row r="46" spans="1:33" s="5" customFormat="1" hidden="1" x14ac:dyDescent="0.25">
      <c r="A46" s="28"/>
      <c r="D46" s="1"/>
      <c r="E46" s="1"/>
      <c r="K46" s="6"/>
      <c r="P46" s="6"/>
      <c r="Q46" s="6"/>
      <c r="S46" s="6"/>
      <c r="T46" s="6"/>
      <c r="U46" s="6"/>
      <c r="V46" s="6"/>
      <c r="AE46" s="30"/>
      <c r="AF46" s="30"/>
      <c r="AG46" s="30"/>
    </row>
    <row r="47" spans="1:33" s="5" customFormat="1" hidden="1" x14ac:dyDescent="0.25">
      <c r="A47" s="28"/>
      <c r="D47" s="1"/>
      <c r="E47" s="1"/>
      <c r="K47" s="6"/>
      <c r="P47" s="6"/>
      <c r="Q47" s="6"/>
      <c r="S47" s="6"/>
      <c r="T47" s="6"/>
      <c r="U47" s="6"/>
      <c r="V47" s="6"/>
      <c r="AE47" s="30"/>
      <c r="AF47" s="30"/>
      <c r="AG47" s="30"/>
    </row>
    <row r="48" spans="1:33" s="5" customFormat="1" hidden="1" x14ac:dyDescent="0.25">
      <c r="A48" s="28"/>
      <c r="D48" s="1"/>
      <c r="E48" s="1"/>
      <c r="K48" s="6"/>
      <c r="P48" s="6"/>
      <c r="Q48" s="6"/>
      <c r="S48" s="6"/>
      <c r="T48" s="6"/>
      <c r="U48" s="6">
        <f>X67</f>
        <v>1</v>
      </c>
      <c r="V48" s="6"/>
      <c r="X48" s="5" t="s">
        <v>153</v>
      </c>
      <c r="Z48" s="27">
        <v>0</v>
      </c>
      <c r="AB48" s="5" t="str">
        <f>IF(Z48=1,Y51,AF51)</f>
        <v>Gelijmde</v>
      </c>
      <c r="AE48" s="30"/>
      <c r="AF48" s="30"/>
      <c r="AG48" s="30"/>
    </row>
    <row r="49" spans="1:51" s="5" customFormat="1" hidden="1" x14ac:dyDescent="0.25">
      <c r="A49" s="28"/>
      <c r="D49" s="1"/>
      <c r="E49" s="1"/>
      <c r="F49" s="4"/>
      <c r="K49" s="4"/>
      <c r="P49" s="6"/>
      <c r="Q49" s="6"/>
      <c r="S49" s="6"/>
      <c r="T49" s="6"/>
      <c r="U49" s="6"/>
      <c r="V49" s="6"/>
      <c r="AE49" s="30"/>
      <c r="AF49" s="30"/>
      <c r="AG49" s="30"/>
      <c r="AR49" s="5">
        <f>AO72</f>
        <v>90</v>
      </c>
      <c r="AS49" s="5" t="e">
        <f>AO74</f>
        <v>#VALUE!</v>
      </c>
    </row>
    <row r="50" spans="1:51" hidden="1" x14ac:dyDescent="0.25">
      <c r="F50" s="4"/>
      <c r="K50" s="4"/>
      <c r="O50" s="1"/>
      <c r="P50" s="6"/>
      <c r="Q50" s="6"/>
      <c r="S50" s="6"/>
      <c r="T50" s="6"/>
      <c r="U50" s="6"/>
      <c r="V50" s="6"/>
      <c r="AK50" t="s">
        <v>156</v>
      </c>
    </row>
    <row r="51" spans="1:51" hidden="1" x14ac:dyDescent="0.25">
      <c r="F51" s="4"/>
      <c r="K51" s="4"/>
      <c r="X51">
        <v>1</v>
      </c>
      <c r="Y51" t="s">
        <v>154</v>
      </c>
      <c r="AE51">
        <v>2</v>
      </c>
      <c r="AF51" s="30" t="s">
        <v>155</v>
      </c>
      <c r="AH51" s="30"/>
      <c r="AK51" t="s">
        <v>157</v>
      </c>
    </row>
    <row r="52" spans="1:51" hidden="1" x14ac:dyDescent="0.25">
      <c r="F52" s="6"/>
      <c r="AE52"/>
      <c r="AH52" s="30"/>
      <c r="AK52">
        <v>1</v>
      </c>
      <c r="AP52" s="49" t="s">
        <v>176</v>
      </c>
      <c r="AS52">
        <v>2</v>
      </c>
      <c r="AU52" s="51"/>
      <c r="AV52" s="51"/>
    </row>
    <row r="53" spans="1:51" hidden="1" x14ac:dyDescent="0.25">
      <c r="A53"/>
      <c r="B53" t="s">
        <v>0</v>
      </c>
      <c r="C53" s="1"/>
      <c r="F53" s="6"/>
      <c r="G53" t="s">
        <v>131</v>
      </c>
      <c r="W53">
        <f>IF(X53=TRUE,1,0)</f>
        <v>0</v>
      </c>
      <c r="X53" t="b">
        <f t="shared" ref="X53:X65" si="0">AND(AC53&gt;=$P$12,AC53&lt;=$R$12)</f>
        <v>0</v>
      </c>
      <c r="Y53" s="1" t="s">
        <v>21</v>
      </c>
      <c r="Z53" s="5" t="s">
        <v>22</v>
      </c>
      <c r="AA53" s="5"/>
      <c r="AB53" s="5"/>
      <c r="AC53" s="5">
        <v>160</v>
      </c>
      <c r="AD53" s="34">
        <f>IF(AE53=TRUE,1,0)</f>
        <v>0</v>
      </c>
      <c r="AE53" s="34" t="b">
        <f t="shared" ref="AE53:AE62" si="1">AND(AH53&gt;=$P$12,AH53&lt;=$R$12)</f>
        <v>0</v>
      </c>
      <c r="AF53" s="34" t="s">
        <v>133</v>
      </c>
      <c r="AG53" s="34" t="s">
        <v>134</v>
      </c>
      <c r="AH53" s="34">
        <v>160</v>
      </c>
      <c r="AK53" t="b">
        <f>AND($AQ53&lt;=$AO$72,$AQ54&gt;=$AO$72,AK54=FALSE)</f>
        <v>1</v>
      </c>
      <c r="AL53" s="31" t="s">
        <v>158</v>
      </c>
      <c r="AM53" s="51" t="s">
        <v>159</v>
      </c>
      <c r="AN53" s="51" t="s">
        <v>160</v>
      </c>
      <c r="AO53" s="51" t="s">
        <v>161</v>
      </c>
      <c r="AP53" s="51"/>
      <c r="AQ53" s="51">
        <v>80</v>
      </c>
      <c r="AS53" s="51" t="e">
        <f>AND($AQ53&lt;=$AO$74,$AQ54&gt;=$AO$74,AS54=FALSE)</f>
        <v>#VALUE!</v>
      </c>
      <c r="AT53" s="31" t="s">
        <v>158</v>
      </c>
      <c r="AU53" s="51" t="s">
        <v>159</v>
      </c>
      <c r="AV53" s="51" t="s">
        <v>160</v>
      </c>
      <c r="AW53" s="51" t="s">
        <v>161</v>
      </c>
      <c r="AX53" s="51"/>
      <c r="AY53" s="51">
        <v>80</v>
      </c>
    </row>
    <row r="54" spans="1:51" hidden="1" x14ac:dyDescent="0.25">
      <c r="A54">
        <v>1</v>
      </c>
      <c r="B54">
        <v>100</v>
      </c>
      <c r="C54" s="2" t="s">
        <v>19</v>
      </c>
      <c r="D54" s="31" t="s">
        <v>1</v>
      </c>
      <c r="E54" s="14" t="s">
        <v>47</v>
      </c>
      <c r="G54" s="30" t="s">
        <v>105</v>
      </c>
      <c r="H54" s="30" t="s">
        <v>106</v>
      </c>
      <c r="I54" s="30" t="s">
        <v>107</v>
      </c>
      <c r="R54" s="70" t="s">
        <v>187</v>
      </c>
      <c r="W54">
        <f>IF(X54=TRUE,W53+1,0)</f>
        <v>1</v>
      </c>
      <c r="X54" s="5" t="b">
        <f t="shared" si="0"/>
        <v>1</v>
      </c>
      <c r="Y54" s="1" t="s">
        <v>23</v>
      </c>
      <c r="Z54" s="5" t="s">
        <v>24</v>
      </c>
      <c r="AA54" s="5"/>
      <c r="AB54" s="5"/>
      <c r="AC54" s="5">
        <v>190</v>
      </c>
      <c r="AD54" s="34">
        <f>IF(AE54=TRUE,AD53+1,0)</f>
        <v>1</v>
      </c>
      <c r="AE54" s="34" t="b">
        <f t="shared" si="1"/>
        <v>1</v>
      </c>
      <c r="AF54" s="34" t="s">
        <v>135</v>
      </c>
      <c r="AG54" s="34" t="s">
        <v>136</v>
      </c>
      <c r="AH54" s="34">
        <v>190</v>
      </c>
      <c r="AK54" s="51" t="b">
        <f>AND($AQ54&lt;=$AO$72,$AQ55&gt;=$AO$72,AK55=FALSE)</f>
        <v>0</v>
      </c>
      <c r="AL54" s="31" t="s">
        <v>162</v>
      </c>
      <c r="AM54" s="51" t="s">
        <v>163</v>
      </c>
      <c r="AN54" s="51" t="s">
        <v>164</v>
      </c>
      <c r="AO54" s="51" t="s">
        <v>161</v>
      </c>
      <c r="AP54" s="51"/>
      <c r="AQ54" s="51">
        <v>115</v>
      </c>
      <c r="AS54" s="51" t="e">
        <f>AND($AQ54&lt;=$AO$74,$AQ55&gt;=$AO$74,AS55=FALSE)</f>
        <v>#VALUE!</v>
      </c>
      <c r="AT54" s="31" t="s">
        <v>162</v>
      </c>
      <c r="AU54" s="51" t="s">
        <v>163</v>
      </c>
      <c r="AV54" s="51" t="s">
        <v>164</v>
      </c>
      <c r="AW54" s="51" t="s">
        <v>161</v>
      </c>
      <c r="AX54" s="51"/>
      <c r="AY54" s="51">
        <v>115</v>
      </c>
    </row>
    <row r="55" spans="1:51" hidden="1" x14ac:dyDescent="0.25">
      <c r="A55">
        <v>2</v>
      </c>
      <c r="B55">
        <v>120</v>
      </c>
      <c r="C55" s="2" t="s">
        <v>20</v>
      </c>
      <c r="D55" s="3" t="s">
        <v>2</v>
      </c>
      <c r="E55" s="14" t="s">
        <v>48</v>
      </c>
      <c r="G55" s="30" t="s">
        <v>108</v>
      </c>
      <c r="H55" s="30" t="s">
        <v>109</v>
      </c>
      <c r="I55" s="30" t="s">
        <v>110</v>
      </c>
      <c r="W55" s="5">
        <f t="shared" ref="W55:W65" si="2">IF(X55=TRUE,W54+1,0)</f>
        <v>0</v>
      </c>
      <c r="X55" s="5" t="b">
        <f t="shared" si="0"/>
        <v>0</v>
      </c>
      <c r="Y55" s="1" t="s">
        <v>25</v>
      </c>
      <c r="Z55" s="5" t="s">
        <v>26</v>
      </c>
      <c r="AA55" s="5"/>
      <c r="AB55" s="5"/>
      <c r="AC55" s="5">
        <v>220</v>
      </c>
      <c r="AD55" s="34">
        <f t="shared" ref="AD55:AD62" si="3">IF(AE55=TRUE,AD54+1,0)</f>
        <v>0</v>
      </c>
      <c r="AE55" s="34" t="b">
        <f t="shared" si="1"/>
        <v>0</v>
      </c>
      <c r="AF55" s="34" t="s">
        <v>137</v>
      </c>
      <c r="AG55" s="34" t="s">
        <v>138</v>
      </c>
      <c r="AH55" s="34">
        <v>220</v>
      </c>
      <c r="AK55" s="51" t="b">
        <f>AND($AQ55&lt;=$AO$72,$AQ56&gt;=$AO$72,AK56=FALSE)</f>
        <v>0</v>
      </c>
      <c r="AL55" s="31" t="s">
        <v>168</v>
      </c>
      <c r="AM55" s="51" t="s">
        <v>169</v>
      </c>
      <c r="AN55" s="51" t="s">
        <v>170</v>
      </c>
      <c r="AO55" s="51" t="s">
        <v>161</v>
      </c>
      <c r="AP55" s="51"/>
      <c r="AQ55" s="51">
        <v>205</v>
      </c>
      <c r="AS55" s="51" t="e">
        <f>AND($AQ55&lt;=$AO$74,$AQ56&gt;=$AO$74,AS56=FALSE)</f>
        <v>#VALUE!</v>
      </c>
      <c r="AT55" s="31" t="s">
        <v>168</v>
      </c>
      <c r="AU55" s="51" t="s">
        <v>169</v>
      </c>
      <c r="AV55" s="51" t="s">
        <v>170</v>
      </c>
      <c r="AW55" s="51" t="s">
        <v>161</v>
      </c>
      <c r="AX55" s="51"/>
      <c r="AY55" s="51">
        <v>205</v>
      </c>
    </row>
    <row r="56" spans="1:51" hidden="1" x14ac:dyDescent="0.25">
      <c r="A56" s="3">
        <v>3</v>
      </c>
      <c r="B56">
        <v>140</v>
      </c>
      <c r="C56" s="2" t="s">
        <v>57</v>
      </c>
      <c r="D56" s="3" t="s">
        <v>3</v>
      </c>
      <c r="E56" s="14" t="s">
        <v>49</v>
      </c>
      <c r="G56" s="30" t="s">
        <v>102</v>
      </c>
      <c r="H56" s="30" t="s">
        <v>111</v>
      </c>
      <c r="I56" s="30" t="s">
        <v>112</v>
      </c>
      <c r="W56" s="5">
        <f t="shared" si="2"/>
        <v>0</v>
      </c>
      <c r="X56" s="5" t="b">
        <f t="shared" si="0"/>
        <v>0</v>
      </c>
      <c r="Y56" s="1" t="s">
        <v>28</v>
      </c>
      <c r="Z56" s="5" t="s">
        <v>27</v>
      </c>
      <c r="AA56" s="5"/>
      <c r="AB56" s="5"/>
      <c r="AC56" s="5">
        <v>250</v>
      </c>
      <c r="AD56" s="34">
        <f t="shared" si="3"/>
        <v>0</v>
      </c>
      <c r="AE56" s="34" t="b">
        <f t="shared" si="1"/>
        <v>0</v>
      </c>
      <c r="AF56" s="34" t="s">
        <v>139</v>
      </c>
      <c r="AG56" s="34" t="s">
        <v>140</v>
      </c>
      <c r="AH56" s="34">
        <v>250</v>
      </c>
      <c r="AK56" s="51" t="b">
        <f>AND($AQ56&lt;=$AO$72,$AQ57&gt;=$AO$72,AK57=FALSE)</f>
        <v>0</v>
      </c>
      <c r="AL56" s="31" t="s">
        <v>171</v>
      </c>
      <c r="AM56" s="51" t="s">
        <v>172</v>
      </c>
      <c r="AN56" s="51" t="s">
        <v>173</v>
      </c>
      <c r="AO56" s="51" t="s">
        <v>161</v>
      </c>
      <c r="AP56" s="51"/>
      <c r="AQ56" s="51">
        <v>280</v>
      </c>
      <c r="AS56" s="51" t="e">
        <f>AND($AQ56&lt;=$AO$74,$AQ57&gt;=$AO$74,AS57=FALSE)</f>
        <v>#VALUE!</v>
      </c>
      <c r="AT56" s="31" t="s">
        <v>171</v>
      </c>
      <c r="AU56" s="51" t="s">
        <v>172</v>
      </c>
      <c r="AV56" s="51" t="s">
        <v>173</v>
      </c>
      <c r="AW56" s="51" t="s">
        <v>161</v>
      </c>
      <c r="AX56" s="51"/>
      <c r="AY56" s="51">
        <v>280</v>
      </c>
    </row>
    <row r="57" spans="1:51" hidden="1" x14ac:dyDescent="0.25">
      <c r="A57" s="3">
        <v>4</v>
      </c>
      <c r="B57">
        <v>160</v>
      </c>
      <c r="C57" s="2" t="s">
        <v>58</v>
      </c>
      <c r="D57" s="3" t="s">
        <v>4</v>
      </c>
      <c r="E57" s="14" t="s">
        <v>50</v>
      </c>
      <c r="G57" s="30" t="s">
        <v>113</v>
      </c>
      <c r="H57" s="30" t="s">
        <v>114</v>
      </c>
      <c r="I57" s="30" t="s">
        <v>115</v>
      </c>
      <c r="W57" s="5">
        <f t="shared" si="2"/>
        <v>0</v>
      </c>
      <c r="X57" s="5" t="b">
        <f t="shared" si="0"/>
        <v>0</v>
      </c>
      <c r="Y57" s="1" t="s">
        <v>45</v>
      </c>
      <c r="Z57" s="5" t="s">
        <v>46</v>
      </c>
      <c r="AA57" s="5"/>
      <c r="AB57" s="5"/>
      <c r="AC57" s="5">
        <v>275</v>
      </c>
      <c r="AD57" s="34">
        <f t="shared" si="3"/>
        <v>0</v>
      </c>
      <c r="AE57" s="34" t="b">
        <f t="shared" si="1"/>
        <v>0</v>
      </c>
      <c r="AF57" s="34" t="s">
        <v>141</v>
      </c>
      <c r="AG57" s="34" t="s">
        <v>142</v>
      </c>
      <c r="AH57" s="34">
        <v>275</v>
      </c>
      <c r="AK57" s="51" t="b">
        <f>AND($AQ57&lt;=$AO$72)</f>
        <v>0</v>
      </c>
      <c r="AL57" s="31" t="s">
        <v>165</v>
      </c>
      <c r="AM57" s="51" t="s">
        <v>166</v>
      </c>
      <c r="AN57" s="51" t="s">
        <v>167</v>
      </c>
      <c r="AO57" s="51" t="s">
        <v>161</v>
      </c>
      <c r="AP57" s="51"/>
      <c r="AQ57" s="51">
        <v>355</v>
      </c>
      <c r="AS57" s="51" t="e">
        <f>AND($AQ57&lt;=$AO$74)</f>
        <v>#VALUE!</v>
      </c>
      <c r="AT57" s="31" t="s">
        <v>165</v>
      </c>
      <c r="AU57" s="51" t="s">
        <v>166</v>
      </c>
      <c r="AV57" s="51" t="s">
        <v>167</v>
      </c>
      <c r="AW57" s="51" t="s">
        <v>161</v>
      </c>
      <c r="AX57" s="51"/>
      <c r="AY57" s="51">
        <v>355</v>
      </c>
    </row>
    <row r="58" spans="1:51" hidden="1" x14ac:dyDescent="0.25">
      <c r="A58" s="3">
        <v>5</v>
      </c>
      <c r="B58">
        <v>180</v>
      </c>
      <c r="C58" s="2" t="s">
        <v>59</v>
      </c>
      <c r="D58" s="3" t="s">
        <v>5</v>
      </c>
      <c r="E58" s="14" t="s">
        <v>51</v>
      </c>
      <c r="G58" s="30" t="s">
        <v>116</v>
      </c>
      <c r="H58" s="30" t="s">
        <v>117</v>
      </c>
      <c r="I58" s="30" t="s">
        <v>118</v>
      </c>
      <c r="W58" s="5">
        <f t="shared" si="2"/>
        <v>0</v>
      </c>
      <c r="X58" s="5" t="b">
        <f t="shared" si="0"/>
        <v>0</v>
      </c>
      <c r="Y58" s="1" t="s">
        <v>35</v>
      </c>
      <c r="Z58" s="5" t="s">
        <v>36</v>
      </c>
      <c r="AA58" s="5"/>
      <c r="AB58" s="5"/>
      <c r="AC58" s="5">
        <v>300</v>
      </c>
      <c r="AD58" s="34">
        <f t="shared" si="3"/>
        <v>0</v>
      </c>
      <c r="AE58" s="34" t="b">
        <f t="shared" si="1"/>
        <v>0</v>
      </c>
      <c r="AF58" s="34" t="s">
        <v>143</v>
      </c>
      <c r="AG58" s="34" t="s">
        <v>144</v>
      </c>
      <c r="AH58" s="34">
        <v>300</v>
      </c>
    </row>
    <row r="59" spans="1:51" hidden="1" x14ac:dyDescent="0.25">
      <c r="A59" s="3">
        <v>6</v>
      </c>
      <c r="B59">
        <v>200</v>
      </c>
      <c r="C59" s="2" t="s">
        <v>60</v>
      </c>
      <c r="D59" s="3" t="s">
        <v>6</v>
      </c>
      <c r="E59" s="14" t="s">
        <v>52</v>
      </c>
      <c r="G59" s="30" t="s">
        <v>119</v>
      </c>
      <c r="H59" s="30" t="s">
        <v>120</v>
      </c>
      <c r="I59" s="30" t="s">
        <v>121</v>
      </c>
      <c r="W59" s="5">
        <f t="shared" si="2"/>
        <v>0</v>
      </c>
      <c r="X59" s="5" t="b">
        <f t="shared" si="0"/>
        <v>0</v>
      </c>
      <c r="Y59" s="1" t="s">
        <v>30</v>
      </c>
      <c r="Z59" s="5" t="s">
        <v>29</v>
      </c>
      <c r="AA59" s="5"/>
      <c r="AB59" s="5"/>
      <c r="AC59" s="5">
        <v>325</v>
      </c>
      <c r="AD59" s="34">
        <f t="shared" si="3"/>
        <v>0</v>
      </c>
      <c r="AE59" s="34" t="b">
        <f t="shared" si="1"/>
        <v>0</v>
      </c>
      <c r="AF59" s="34" t="s">
        <v>145</v>
      </c>
      <c r="AG59" s="34" t="s">
        <v>146</v>
      </c>
      <c r="AH59" s="34">
        <v>325</v>
      </c>
    </row>
    <row r="60" spans="1:51" hidden="1" x14ac:dyDescent="0.25">
      <c r="A60" s="3">
        <v>7</v>
      </c>
      <c r="B60">
        <v>220</v>
      </c>
      <c r="C60" s="2" t="s">
        <v>61</v>
      </c>
      <c r="D60" s="3" t="s">
        <v>7</v>
      </c>
      <c r="E60" s="14" t="s">
        <v>53</v>
      </c>
      <c r="G60" s="30" t="s">
        <v>122</v>
      </c>
      <c r="H60" s="30" t="s">
        <v>123</v>
      </c>
      <c r="I60" s="30" t="s">
        <v>124</v>
      </c>
      <c r="W60" s="5">
        <f t="shared" si="2"/>
        <v>0</v>
      </c>
      <c r="X60" s="5" t="b">
        <f t="shared" si="0"/>
        <v>0</v>
      </c>
      <c r="Y60" s="1" t="s">
        <v>31</v>
      </c>
      <c r="Z60" s="5" t="s">
        <v>32</v>
      </c>
      <c r="AA60" s="5"/>
      <c r="AB60" s="5"/>
      <c r="AC60" s="5">
        <v>350</v>
      </c>
      <c r="AD60" s="34">
        <f t="shared" si="3"/>
        <v>0</v>
      </c>
      <c r="AE60" s="34" t="b">
        <f t="shared" si="1"/>
        <v>0</v>
      </c>
      <c r="AF60" s="34" t="s">
        <v>147</v>
      </c>
      <c r="AG60" s="34" t="s">
        <v>148</v>
      </c>
      <c r="AH60" s="34">
        <v>350</v>
      </c>
      <c r="AK60" s="51">
        <f>COUNTIFS(AK53:AK58,TRUE)</f>
        <v>1</v>
      </c>
      <c r="AS60" s="51">
        <f>COUNTIFS(AS53:AS58,TRUE)</f>
        <v>0</v>
      </c>
    </row>
    <row r="61" spans="1:51" hidden="1" x14ac:dyDescent="0.25">
      <c r="A61" s="3">
        <v>8</v>
      </c>
      <c r="B61">
        <v>240</v>
      </c>
      <c r="C61" s="2" t="s">
        <v>62</v>
      </c>
      <c r="D61" s="3" t="s">
        <v>8</v>
      </c>
      <c r="E61" s="14" t="s">
        <v>54</v>
      </c>
      <c r="G61" s="30" t="s">
        <v>125</v>
      </c>
      <c r="H61" s="30" t="s">
        <v>126</v>
      </c>
      <c r="I61" s="30" t="s">
        <v>127</v>
      </c>
      <c r="W61" s="5">
        <f t="shared" si="2"/>
        <v>0</v>
      </c>
      <c r="X61" s="5" t="b">
        <f t="shared" si="0"/>
        <v>0</v>
      </c>
      <c r="Y61" s="1" t="s">
        <v>33</v>
      </c>
      <c r="Z61" s="5" t="s">
        <v>34</v>
      </c>
      <c r="AA61" s="5"/>
      <c r="AB61" s="5"/>
      <c r="AC61" s="5">
        <v>375</v>
      </c>
      <c r="AD61" s="34">
        <f t="shared" si="3"/>
        <v>0</v>
      </c>
      <c r="AE61" s="34" t="b">
        <f t="shared" si="1"/>
        <v>0</v>
      </c>
      <c r="AF61" s="34" t="s">
        <v>149</v>
      </c>
      <c r="AG61" s="34" t="s">
        <v>150</v>
      </c>
      <c r="AH61" s="34">
        <v>375</v>
      </c>
    </row>
    <row r="62" spans="1:51" hidden="1" x14ac:dyDescent="0.25">
      <c r="A62" s="3">
        <v>9</v>
      </c>
      <c r="B62">
        <v>260</v>
      </c>
      <c r="C62" s="2" t="s">
        <v>63</v>
      </c>
      <c r="D62" s="3" t="s">
        <v>9</v>
      </c>
      <c r="E62" s="14" t="s">
        <v>55</v>
      </c>
      <c r="G62" s="30" t="s">
        <v>128</v>
      </c>
      <c r="H62" s="30" t="s">
        <v>129</v>
      </c>
      <c r="I62" s="30" t="s">
        <v>130</v>
      </c>
      <c r="W62" s="5">
        <f t="shared" si="2"/>
        <v>0</v>
      </c>
      <c r="X62" s="5" t="b">
        <f t="shared" si="0"/>
        <v>0</v>
      </c>
      <c r="Y62" s="1" t="s">
        <v>44</v>
      </c>
      <c r="Z62" s="5" t="s">
        <v>43</v>
      </c>
      <c r="AA62" s="5"/>
      <c r="AB62" s="5"/>
      <c r="AC62" s="5">
        <v>400</v>
      </c>
      <c r="AD62" s="34">
        <f t="shared" si="3"/>
        <v>0</v>
      </c>
      <c r="AE62" s="34" t="b">
        <f t="shared" si="1"/>
        <v>0</v>
      </c>
      <c r="AF62" s="34" t="s">
        <v>151</v>
      </c>
      <c r="AG62" s="34" t="s">
        <v>152</v>
      </c>
      <c r="AH62" s="34">
        <v>400</v>
      </c>
    </row>
    <row r="63" spans="1:51" hidden="1" x14ac:dyDescent="0.25">
      <c r="A63" s="3">
        <v>10</v>
      </c>
      <c r="B63">
        <v>280</v>
      </c>
      <c r="C63" s="2" t="s">
        <v>64</v>
      </c>
      <c r="D63" s="3" t="s">
        <v>10</v>
      </c>
      <c r="E63" s="14" t="s">
        <v>56</v>
      </c>
      <c r="G63" s="30" t="s">
        <v>128</v>
      </c>
      <c r="H63" s="30" t="s">
        <v>129</v>
      </c>
      <c r="I63" s="30" t="s">
        <v>130</v>
      </c>
      <c r="W63" s="5">
        <f t="shared" si="2"/>
        <v>0</v>
      </c>
      <c r="X63" s="5" t="b">
        <f t="shared" si="0"/>
        <v>0</v>
      </c>
      <c r="Y63" s="1" t="s">
        <v>37</v>
      </c>
      <c r="Z63" s="5" t="s">
        <v>38</v>
      </c>
      <c r="AA63" s="5"/>
      <c r="AB63" s="5"/>
      <c r="AC63" s="5">
        <v>425</v>
      </c>
      <c r="AD63" s="31"/>
      <c r="AK63" t="str">
        <f>VLOOKUP(TRUE,$AK53:$AQ57,2,FALSE)</f>
        <v>390075.0001</v>
      </c>
      <c r="AM63" t="str">
        <f>VLOOKUP(TRUE,$AK53:$AQ57,3,FALSE)</f>
        <v>Slagpijp binnenmaat 75      GP</v>
      </c>
      <c r="AS63" s="51" t="e">
        <f>VLOOKUP(TRUE,$AS$53:$AY$57,2,FALSE)</f>
        <v>#N/A</v>
      </c>
      <c r="AU63" s="51" t="e">
        <f>VLOOKUP(TRUE,$AS$53:$AY$57,3,FALSE)</f>
        <v>#N/A</v>
      </c>
    </row>
    <row r="64" spans="1:51" hidden="1" x14ac:dyDescent="0.25">
      <c r="W64" s="5">
        <f t="shared" si="2"/>
        <v>0</v>
      </c>
      <c r="X64" s="5" t="b">
        <f t="shared" si="0"/>
        <v>0</v>
      </c>
      <c r="Y64" s="1" t="s">
        <v>39</v>
      </c>
      <c r="Z64" s="5" t="s">
        <v>40</v>
      </c>
      <c r="AA64" s="5"/>
      <c r="AB64" s="5"/>
      <c r="AC64" s="5">
        <v>450</v>
      </c>
      <c r="AD64" s="31"/>
    </row>
    <row r="65" spans="8:43" hidden="1" x14ac:dyDescent="0.25">
      <c r="W65" s="5">
        <f t="shared" si="2"/>
        <v>0</v>
      </c>
      <c r="X65" s="5" t="b">
        <f t="shared" si="0"/>
        <v>0</v>
      </c>
      <c r="Y65" s="1" t="s">
        <v>41</v>
      </c>
      <c r="Z65" s="5" t="s">
        <v>42</v>
      </c>
      <c r="AA65" s="5"/>
      <c r="AB65" s="5"/>
      <c r="AC65" s="5">
        <v>475</v>
      </c>
      <c r="AD65" s="31"/>
    </row>
    <row r="66" spans="8:43" hidden="1" x14ac:dyDescent="0.25">
      <c r="AK66" s="31"/>
      <c r="AL66" s="51"/>
      <c r="AM66" s="51"/>
      <c r="AN66" s="51"/>
      <c r="AO66" s="51"/>
      <c r="AP66" s="51"/>
      <c r="AQ66" s="51"/>
    </row>
    <row r="67" spans="8:43" hidden="1" x14ac:dyDescent="0.25">
      <c r="X67">
        <f>COUNTIFS(X53:X65,TRUE)</f>
        <v>1</v>
      </c>
      <c r="AD67" s="34"/>
      <c r="AE67" s="34">
        <f>COUNTIFS(AE53:AE65,TRUE)</f>
        <v>1</v>
      </c>
      <c r="AK67" s="31"/>
      <c r="AL67" s="51"/>
      <c r="AM67" s="51"/>
      <c r="AN67" s="51"/>
      <c r="AO67" s="51"/>
      <c r="AP67" s="51"/>
      <c r="AQ67" s="51"/>
    </row>
    <row r="68" spans="8:43" hidden="1" x14ac:dyDescent="0.25">
      <c r="I68" t="s">
        <v>11</v>
      </c>
      <c r="AK68" s="31"/>
      <c r="AL68" s="51"/>
      <c r="AM68" s="51"/>
      <c r="AN68" s="51"/>
      <c r="AO68" s="51"/>
      <c r="AP68" s="51"/>
      <c r="AQ68" s="51"/>
    </row>
    <row r="69" spans="8:43" hidden="1" x14ac:dyDescent="0.25">
      <c r="AK69" s="31"/>
      <c r="AL69" s="51"/>
      <c r="AM69" s="51"/>
      <c r="AN69" s="51"/>
      <c r="AO69" s="51"/>
      <c r="AP69" s="51"/>
      <c r="AQ69" s="51"/>
    </row>
    <row r="70" spans="8:43" hidden="1" x14ac:dyDescent="0.25">
      <c r="I70" s="55">
        <v>10</v>
      </c>
      <c r="AK70" s="31" t="s">
        <v>177</v>
      </c>
      <c r="AL70" s="51"/>
      <c r="AM70" s="51"/>
      <c r="AN70" s="51"/>
      <c r="AO70" s="51"/>
      <c r="AP70" s="51"/>
      <c r="AQ70" s="51"/>
    </row>
    <row r="71" spans="8:43" hidden="1" x14ac:dyDescent="0.25">
      <c r="H71">
        <v>1</v>
      </c>
      <c r="I71">
        <v>20</v>
      </c>
    </row>
    <row r="72" spans="8:43" ht="15.75" hidden="1" x14ac:dyDescent="0.25">
      <c r="H72">
        <v>2</v>
      </c>
      <c r="I72" s="3">
        <v>30</v>
      </c>
      <c r="X72" s="15" t="s">
        <v>66</v>
      </c>
      <c r="Y72" s="16" t="str">
        <f>IF(W53=1,Y53,IF(W54=1,Y54,IF(W55=1,Y55,IF(W56=1,Y56,IF(W57=1,Y57,IF(W58=1,Y58,IF(W59=1,Y59,IF(W60=1,Y60,IF(W61=1,Y61,IF(W62=1,Y62,IF(W63=1,Y63,IF(W64=1,Y64,IF(W65=1,Y65,"-")))))))))))))</f>
        <v>37462.0250</v>
      </c>
      <c r="AA72" s="16" t="str">
        <f>IF(W53=1,Z53,IF(W54=1,Z54,IF(W55=1,Z55,IF(W56=1,Z56,IF(W57=1,Z57,IF(W58=1,Z58,IF(W59=1,Z59,IF(W60=1,Z60,IF(W61=1,Z61,IF(W62=1,Z62,IF(W63=1,Z63,IF(W64=1,Z64,IF(W65=1,Z65," ")))))))))))))</f>
        <v>UNI-slagspouwanker 190x4   316</v>
      </c>
      <c r="AB72" s="16"/>
      <c r="AC72" s="16">
        <f>IF(W53=1,AC53,IF(W54=1,AC54,IF(W55=1,AC55,IF(W56=1,AC56,IF(W57=1,AC57,IF(W58=1,AC58,IF(W59=1,AC59,IF(W60=1,AC60,IF(W61=1,AC61,IF(W62=1,AC62,IF(W63=1,AC63,IF(W64=1,AC64,IF(W65=1,AC65," ")))))))))))))</f>
        <v>190</v>
      </c>
      <c r="AE72" s="16" t="str">
        <f>IF(AD53=1,AF53,IF(AD54=1,AF54,IF(AD55=1,AF55,IF(AD56=1,AF56,IF(AD57=1,AF57,IF(AD58=1,AF58,IF(AD59=1,AF59,IF(AD60=1,AF60,IF(AD61=1,AF61,IF(AD62=1,AF62,"-"))))))))))</f>
        <v>38105.0250</v>
      </c>
      <c r="AG72" s="16" t="str">
        <f>IF(AD53=1,AG53,IF(AD54=1,AG54,IF(AD55=1,AG55,IF(AD56=1,AG56,IF(AD57=1,AG57,IF(AD58=1,AG58,IF(AD59=1,AG59,IF(AD60=1,AG60,IF(AD61=1,AG61,IF(AD62=1,AG62," "))))))))))</f>
        <v>UNI-Lijmboorsp.anker 190x4 316</v>
      </c>
      <c r="AK72">
        <f>AC72</f>
        <v>190</v>
      </c>
      <c r="AL72" s="49" t="s">
        <v>174</v>
      </c>
      <c r="AM72">
        <f>$C$12</f>
        <v>100</v>
      </c>
      <c r="AN72" t="s">
        <v>175</v>
      </c>
      <c r="AO72">
        <f>AK72-AM72</f>
        <v>90</v>
      </c>
    </row>
    <row r="73" spans="8:43" ht="15.75" hidden="1" x14ac:dyDescent="0.25">
      <c r="H73" s="3">
        <v>3</v>
      </c>
      <c r="I73" s="3">
        <v>40</v>
      </c>
      <c r="X73" s="15"/>
      <c r="Y73" s="75" t="str">
        <f>IF(X67=2,"of",IF(Y72="-","Voor deze maat is geen anker beschikbaar!"," "))</f>
        <v xml:space="preserve"> </v>
      </c>
      <c r="Z73" s="75"/>
      <c r="AA73" s="75"/>
      <c r="AB73" s="75"/>
      <c r="AC73" s="75"/>
      <c r="AE73" s="75" t="str">
        <f>IF(AE67=2,"of",IF(AE72="-","Voor deze maat is geen anker beschikbaar!"," "))</f>
        <v xml:space="preserve"> </v>
      </c>
      <c r="AF73" s="75"/>
      <c r="AG73" s="75"/>
      <c r="AH73" s="75"/>
      <c r="AI73" s="75"/>
      <c r="AL73" s="49"/>
    </row>
    <row r="74" spans="8:43" ht="15.75" hidden="1" x14ac:dyDescent="0.25">
      <c r="H74" s="3">
        <v>4</v>
      </c>
      <c r="I74" s="3">
        <v>50</v>
      </c>
      <c r="X74" s="16">
        <f>X67</f>
        <v>1</v>
      </c>
      <c r="Y74" s="16" t="str">
        <f>IF(W53=2,Y53,IF(W54=2,Y54,IF(W55=2,Y55,IF(W56=2,Y56,IF(W57=2,Y57,IF(W58=2,Y58,IF(W59=2,Y59,IF(W60=2,Y60,IF(W61=2,Y61,IF(W62=2,Y62,IF(W63=2,Y63,IF(W64=2,Y64,IF(W65=2,Y65," ")))))))))))))</f>
        <v xml:space="preserve"> </v>
      </c>
      <c r="AA74" s="16" t="str">
        <f>IF(W53=2,Z53,IF(W54=2,Z54,IF(W55=2,Z55,IF(W56=2,Z56,IF(W57=2,Z57,IF(W58=2,Z58,IF(W59=2,Z59,IF(W60=2,Z60,IF(W61=2,Z61,IF(W62=2,Z62,IF(W63=2,Z63,IF(W64=2,Z64,IF(W65=2,Z65," ")))))))))))))</f>
        <v xml:space="preserve"> </v>
      </c>
      <c r="AB74" s="16"/>
      <c r="AC74" s="16" t="str">
        <f>IF(W53=2,AC53,IF(W54=2,AC54,IF(W55=2,AC55,IF(W56=2,AC56,IF(W57=2,AC57,IF(W58=2,AC58,IF(W59=2,AC59,IF(W60=2,AC60,IF(W61=2,AC61,IF(W62=2,AC62,IF(W63=2,AC63,IF(W64=2,AC64,IF(W65=2,AC65," ")))))))))))))</f>
        <v xml:space="preserve"> </v>
      </c>
      <c r="AE74" s="16" t="str">
        <f>IF(AD53=2,AF53,IF(AD54=2,AF54,IF(AD55=2,AF55,IF(AD56=2,AF56,IF(AD57=2,AF57,IF(AD58=2,AF58,IF(AD59=2,AF59,IF(AD60=2,AF60,IF(AD61=2,AF61,IF(AD62=2,AF62," "))))))))))</f>
        <v xml:space="preserve"> </v>
      </c>
      <c r="AG74" s="16" t="str">
        <f>IF(AD53=2,AG53,IF(AD54=2,AD54,IF(AD55=2,AG55,IF(AD56=2,AG56,IF(AD57=2,AG57,IF(AD58=2,AG58,IF(AD59=2,AG59,IF(AD60=2,AG60,IF(AD61=2,AG61,IF(AD62=2,AG62," "))))))))))</f>
        <v xml:space="preserve"> </v>
      </c>
      <c r="AK74" s="51" t="str">
        <f>AC74</f>
        <v xml:space="preserve"> </v>
      </c>
      <c r="AL74" s="49" t="s">
        <v>174</v>
      </c>
      <c r="AM74" s="51">
        <f>$C$12</f>
        <v>100</v>
      </c>
      <c r="AN74" s="51" t="s">
        <v>175</v>
      </c>
      <c r="AO74" s="51" t="e">
        <f>AK74-AM74</f>
        <v>#VALUE!</v>
      </c>
    </row>
    <row r="75" spans="8:43" hidden="1" x14ac:dyDescent="0.25">
      <c r="H75" s="3">
        <v>5</v>
      </c>
      <c r="I75" s="3">
        <v>60</v>
      </c>
    </row>
    <row r="76" spans="8:43" hidden="1" x14ac:dyDescent="0.25">
      <c r="H76" s="3">
        <v>6</v>
      </c>
      <c r="I76" s="3">
        <v>70</v>
      </c>
    </row>
    <row r="77" spans="8:43" hidden="1" x14ac:dyDescent="0.25">
      <c r="H77" s="3">
        <v>7</v>
      </c>
      <c r="I77" s="3">
        <v>80</v>
      </c>
    </row>
    <row r="78" spans="8:43" hidden="1" x14ac:dyDescent="0.25">
      <c r="H78" s="3">
        <v>8</v>
      </c>
      <c r="I78" s="3">
        <v>90</v>
      </c>
    </row>
    <row r="79" spans="8:43" hidden="1" x14ac:dyDescent="0.25">
      <c r="H79" s="3">
        <v>9</v>
      </c>
      <c r="I79" s="3">
        <v>100</v>
      </c>
    </row>
    <row r="80" spans="8:43" hidden="1" x14ac:dyDescent="0.25">
      <c r="H80" s="3">
        <v>10</v>
      </c>
      <c r="I80" s="3">
        <v>110</v>
      </c>
    </row>
    <row r="81" spans="8:9" hidden="1" x14ac:dyDescent="0.25">
      <c r="H81" s="3">
        <v>11</v>
      </c>
      <c r="I81" s="3">
        <v>120</v>
      </c>
    </row>
    <row r="82" spans="8:9" hidden="1" x14ac:dyDescent="0.25">
      <c r="H82" s="3">
        <v>12</v>
      </c>
      <c r="I82" s="3">
        <v>130</v>
      </c>
    </row>
    <row r="83" spans="8:9" hidden="1" x14ac:dyDescent="0.25">
      <c r="H83" s="3">
        <v>13</v>
      </c>
      <c r="I83" s="3">
        <v>140</v>
      </c>
    </row>
    <row r="84" spans="8:9" hidden="1" x14ac:dyDescent="0.25">
      <c r="H84" s="3">
        <v>14</v>
      </c>
      <c r="I84" s="3">
        <v>150</v>
      </c>
    </row>
    <row r="85" spans="8:9" hidden="1" x14ac:dyDescent="0.25">
      <c r="H85" s="3">
        <v>15</v>
      </c>
      <c r="I85" s="3">
        <v>160</v>
      </c>
    </row>
    <row r="86" spans="8:9" hidden="1" x14ac:dyDescent="0.25">
      <c r="H86" s="3">
        <v>16</v>
      </c>
      <c r="I86" s="3">
        <v>170</v>
      </c>
    </row>
    <row r="87" spans="8:9" hidden="1" x14ac:dyDescent="0.25">
      <c r="H87" s="3">
        <v>17</v>
      </c>
      <c r="I87" s="3">
        <v>180</v>
      </c>
    </row>
    <row r="88" spans="8:9" hidden="1" x14ac:dyDescent="0.25">
      <c r="H88" s="3">
        <v>18</v>
      </c>
      <c r="I88" s="3">
        <v>190</v>
      </c>
    </row>
    <row r="89" spans="8:9" hidden="1" x14ac:dyDescent="0.25">
      <c r="H89" s="3">
        <v>19</v>
      </c>
      <c r="I89" s="3">
        <v>200</v>
      </c>
    </row>
    <row r="90" spans="8:9" hidden="1" x14ac:dyDescent="0.25"/>
    <row r="91" spans="8:9" hidden="1" x14ac:dyDescent="0.25"/>
    <row r="92" spans="8:9" hidden="1" x14ac:dyDescent="0.25"/>
    <row r="93" spans="8:9" hidden="1" x14ac:dyDescent="0.25"/>
    <row r="94" spans="8:9" hidden="1" x14ac:dyDescent="0.25"/>
  </sheetData>
  <sheetProtection password="C565" sheet="1" objects="1" scenarios="1"/>
  <mergeCells count="17">
    <mergeCell ref="J12:K12"/>
    <mergeCell ref="E3:H3"/>
    <mergeCell ref="I4:L4"/>
    <mergeCell ref="A1:AA1"/>
    <mergeCell ref="A3:D3"/>
    <mergeCell ref="I3:L3"/>
    <mergeCell ref="J8:J9"/>
    <mergeCell ref="K8:K9"/>
    <mergeCell ref="AE73:AI73"/>
    <mergeCell ref="Y73:AC73"/>
    <mergeCell ref="S3:V3"/>
    <mergeCell ref="M3:O3"/>
    <mergeCell ref="P3:R3"/>
    <mergeCell ref="P4:R4"/>
    <mergeCell ref="U13:Z13"/>
    <mergeCell ref="M13:O15"/>
    <mergeCell ref="M4:O4"/>
  </mergeCells>
  <conditionalFormatting sqref="Y73:AC73">
    <cfRule type="cellIs" dxfId="9" priority="7" operator="equal">
      <formula>"Voor deze maat is geen anker beschikbaar!"</formula>
    </cfRule>
  </conditionalFormatting>
  <conditionalFormatting sqref="AE73:AI73">
    <cfRule type="cellIs" dxfId="8" priority="6" operator="equal">
      <formula>"Voor deze maat is geen anker beschikbaar!"</formula>
    </cfRule>
  </conditionalFormatting>
  <conditionalFormatting sqref="U13">
    <cfRule type="cellIs" dxfId="7" priority="4" operator="equal">
      <formula>"Voor deze maat is geen anker beschikbaar!"</formula>
    </cfRule>
  </conditionalFormatting>
  <conditionalFormatting sqref="U13:Z13">
    <cfRule type="expression" dxfId="6" priority="3">
      <formula>$Z$48=0</formula>
    </cfRule>
  </conditionalFormatting>
  <conditionalFormatting sqref="M13:O15">
    <cfRule type="cellIs" dxfId="5" priority="2" operator="equal">
      <formula>$Z$48=0</formula>
    </cfRule>
  </conditionalFormatting>
  <conditionalFormatting sqref="W15">
    <cfRule type="expression" dxfId="4" priority="1">
      <formula>$AE$67 &lt;2</formula>
    </cfRule>
  </conditionalFormatting>
  <pageMargins left="0.70866141732283472" right="0.70866141732283472" top="0.74803149606299213" bottom="0.74803149606299213" header="0.31496062992125984" footer="0.31496062992125984"/>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1</xdr:col>
                    <xdr:colOff>9525</xdr:colOff>
                    <xdr:row>7</xdr:row>
                    <xdr:rowOff>9525</xdr:rowOff>
                  </from>
                  <to>
                    <xdr:col>3</xdr:col>
                    <xdr:colOff>0</xdr:colOff>
                    <xdr:row>8</xdr:row>
                    <xdr:rowOff>123825</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5</xdr:col>
                    <xdr:colOff>0</xdr:colOff>
                    <xdr:row>6</xdr:row>
                    <xdr:rowOff>200025</xdr:rowOff>
                  </from>
                  <to>
                    <xdr:col>6</xdr:col>
                    <xdr:colOff>581025</xdr:colOff>
                    <xdr:row>8</xdr:row>
                    <xdr:rowOff>104775</xdr:rowOff>
                  </to>
                </anchor>
              </controlPr>
            </control>
          </mc:Choice>
        </mc:AlternateContent>
        <mc:AlternateContent xmlns:mc="http://schemas.openxmlformats.org/markup-compatibility/2006">
          <mc:Choice Requires="x14">
            <control shapeId="1027" r:id="rId6" name="Button 3">
              <controlPr defaultSize="0" print="0" autoFill="0" autoPict="0" macro="[0]!terug">
                <anchor moveWithCells="1" sizeWithCells="1">
                  <from>
                    <xdr:col>21</xdr:col>
                    <xdr:colOff>19050</xdr:colOff>
                    <xdr:row>19</xdr:row>
                    <xdr:rowOff>180975</xdr:rowOff>
                  </from>
                  <to>
                    <xdr:col>23</xdr:col>
                    <xdr:colOff>0</xdr:colOff>
                    <xdr:row>22</xdr:row>
                    <xdr:rowOff>85725</xdr:rowOff>
                  </to>
                </anchor>
              </controlPr>
            </control>
          </mc:Choice>
        </mc:AlternateContent>
        <mc:AlternateContent xmlns:mc="http://schemas.openxmlformats.org/markup-compatibility/2006">
          <mc:Choice Requires="x14">
            <control shapeId="1028" r:id="rId7" name="Option Button 4">
              <controlPr locked="0" defaultSize="0" autoFill="0" autoLine="0" autoPict="0">
                <anchor moveWithCells="1">
                  <from>
                    <xdr:col>12</xdr:col>
                    <xdr:colOff>333375</xdr:colOff>
                    <xdr:row>4</xdr:row>
                    <xdr:rowOff>123825</xdr:rowOff>
                  </from>
                  <to>
                    <xdr:col>14</xdr:col>
                    <xdr:colOff>304800</xdr:colOff>
                    <xdr:row>6</xdr:row>
                    <xdr:rowOff>180975</xdr:rowOff>
                  </to>
                </anchor>
              </controlPr>
            </control>
          </mc:Choice>
        </mc:AlternateContent>
        <mc:AlternateContent xmlns:mc="http://schemas.openxmlformats.org/markup-compatibility/2006">
          <mc:Choice Requires="x14">
            <control shapeId="1029" r:id="rId8" name="Option Button 5">
              <controlPr locked="0" defaultSize="0" autoFill="0" autoLine="0" autoPict="0">
                <anchor moveWithCells="1">
                  <from>
                    <xdr:col>12</xdr:col>
                    <xdr:colOff>333375</xdr:colOff>
                    <xdr:row>7</xdr:row>
                    <xdr:rowOff>180975</xdr:rowOff>
                  </from>
                  <to>
                    <xdr:col>14</xdr:col>
                    <xdr:colOff>390525</xdr:colOff>
                    <xdr:row>9</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pageSetUpPr fitToPage="1"/>
  </sheetPr>
  <dimension ref="A1:AI100"/>
  <sheetViews>
    <sheetView showGridLines="0" showRowColHeaders="0" zoomScaleNormal="100" workbookViewId="0">
      <selection sqref="A1:AA1"/>
    </sheetView>
  </sheetViews>
  <sheetFormatPr defaultRowHeight="15" x14ac:dyDescent="0.25"/>
  <cols>
    <col min="1" max="2" width="9.140625" style="5"/>
    <col min="3" max="3" width="9.140625" style="1"/>
    <col min="4" max="4" width="14.42578125" style="1" customWidth="1"/>
    <col min="5" max="5" width="11.7109375" style="5" customWidth="1"/>
    <col min="6" max="8" width="9.140625" style="5"/>
    <col min="9" max="9" width="4.7109375" style="5" customWidth="1"/>
    <col min="10" max="10" width="9.140625" style="5"/>
    <col min="11" max="11" width="9.140625" style="5" customWidth="1"/>
    <col min="12" max="12" width="4.7109375" style="5" customWidth="1"/>
    <col min="13" max="13" width="9.140625" style="5"/>
    <col min="14" max="15" width="9.140625" style="5" customWidth="1"/>
    <col min="16" max="18" width="9.140625" style="34" customWidth="1"/>
    <col min="19" max="20" width="9.140625" style="5"/>
    <col min="21" max="21" width="9.140625" style="5" customWidth="1"/>
    <col min="22" max="22" width="9.140625" style="5"/>
    <col min="23" max="23" width="18.28515625" style="5" customWidth="1"/>
    <col min="24" max="24" width="6" style="5" customWidth="1"/>
    <col min="25" max="25" width="9.140625" style="5" customWidth="1"/>
    <col min="26" max="26" width="16.7109375" style="5" customWidth="1"/>
    <col min="27" max="29" width="9.140625" style="5"/>
    <col min="30" max="30" width="14.5703125" style="5" customWidth="1"/>
    <col min="31" max="31" width="11.5703125" style="5" bestFit="1" customWidth="1"/>
    <col min="32" max="16384" width="9.140625" style="5"/>
  </cols>
  <sheetData>
    <row r="1" spans="1:27" s="51" customFormat="1" ht="22.5" thickTop="1" thickBot="1" x14ac:dyDescent="0.4">
      <c r="A1" s="83" t="s">
        <v>185</v>
      </c>
      <c r="B1" s="84"/>
      <c r="C1" s="84"/>
      <c r="D1" s="84"/>
      <c r="E1" s="84"/>
      <c r="F1" s="84"/>
      <c r="G1" s="84"/>
      <c r="H1" s="84"/>
      <c r="I1" s="84"/>
      <c r="J1" s="84"/>
      <c r="K1" s="84"/>
      <c r="L1" s="84"/>
      <c r="M1" s="84"/>
      <c r="N1" s="84"/>
      <c r="O1" s="84"/>
      <c r="P1" s="84"/>
      <c r="Q1" s="84"/>
      <c r="R1" s="84"/>
      <c r="S1" s="84"/>
      <c r="T1" s="84"/>
      <c r="U1" s="84"/>
      <c r="V1" s="84"/>
      <c r="W1" s="84"/>
      <c r="X1" s="84"/>
      <c r="Y1" s="84"/>
      <c r="Z1" s="84"/>
      <c r="AA1" s="85"/>
    </row>
    <row r="2" spans="1:27" ht="15.75" thickTop="1" x14ac:dyDescent="0.25">
      <c r="A2" s="8"/>
      <c r="B2" s="9"/>
      <c r="C2" s="10"/>
      <c r="D2" s="39"/>
      <c r="E2" s="9"/>
      <c r="F2" s="9"/>
      <c r="G2" s="9"/>
      <c r="H2" s="11"/>
      <c r="I2" s="9"/>
      <c r="J2" s="9"/>
      <c r="K2" s="9"/>
      <c r="L2" s="11"/>
      <c r="M2" s="9"/>
      <c r="N2" s="9"/>
      <c r="O2" s="11"/>
      <c r="P2" s="9"/>
      <c r="Q2" s="9"/>
      <c r="R2" s="11"/>
      <c r="S2" s="9"/>
      <c r="T2" s="9"/>
      <c r="U2" s="9"/>
      <c r="V2" s="9"/>
      <c r="W2" s="9"/>
      <c r="X2" s="9"/>
      <c r="Y2" s="9"/>
      <c r="Z2" s="9"/>
      <c r="AA2" s="11"/>
    </row>
    <row r="3" spans="1:27" ht="46.5" x14ac:dyDescent="0.7">
      <c r="A3" s="77" t="s">
        <v>18</v>
      </c>
      <c r="B3" s="78"/>
      <c r="C3" s="78"/>
      <c r="D3" s="79"/>
      <c r="E3" s="77" t="s">
        <v>15</v>
      </c>
      <c r="F3" s="78"/>
      <c r="G3" s="78"/>
      <c r="H3" s="79"/>
      <c r="I3" s="77" t="s">
        <v>178</v>
      </c>
      <c r="J3" s="78"/>
      <c r="K3" s="78"/>
      <c r="L3" s="79"/>
      <c r="M3" s="77" t="s">
        <v>103</v>
      </c>
      <c r="N3" s="78"/>
      <c r="O3" s="79"/>
      <c r="P3" s="77" t="s">
        <v>16</v>
      </c>
      <c r="Q3" s="78"/>
      <c r="R3" s="79"/>
      <c r="S3" s="76" t="s">
        <v>65</v>
      </c>
      <c r="T3" s="76"/>
      <c r="U3" s="76"/>
      <c r="V3" s="76"/>
      <c r="W3" s="6"/>
      <c r="X3" s="6"/>
      <c r="Y3" s="6"/>
      <c r="Z3" s="6"/>
      <c r="AA3" s="4"/>
    </row>
    <row r="4" spans="1:27" ht="31.5" x14ac:dyDescent="0.5">
      <c r="A4" s="12" t="s">
        <v>14</v>
      </c>
      <c r="B4" s="13" t="str">
        <f>VLOOKUP(B8,A56:D65,4)</f>
        <v>331140.0250</v>
      </c>
      <c r="C4" s="14"/>
      <c r="D4" s="40"/>
      <c r="E4" s="6"/>
      <c r="F4" s="6"/>
      <c r="G4" s="6"/>
      <c r="H4" s="4"/>
      <c r="I4" s="77" t="s">
        <v>179</v>
      </c>
      <c r="J4" s="78"/>
      <c r="K4" s="78"/>
      <c r="L4" s="79"/>
      <c r="M4" s="6"/>
      <c r="N4" s="6"/>
      <c r="O4" s="4"/>
      <c r="P4" s="6"/>
      <c r="Q4" s="6"/>
      <c r="R4" s="4"/>
      <c r="S4" s="6"/>
      <c r="T4" s="6"/>
      <c r="U4" s="6"/>
      <c r="V4" s="6"/>
      <c r="W4" s="6"/>
      <c r="X4" s="6"/>
      <c r="Y4" s="6"/>
      <c r="Z4" s="15"/>
      <c r="AA4" s="4"/>
    </row>
    <row r="5" spans="1:27" ht="16.5" thickBot="1" x14ac:dyDescent="0.3">
      <c r="A5" s="12"/>
      <c r="B5" s="6"/>
      <c r="C5" s="14"/>
      <c r="D5" s="4"/>
      <c r="E5" s="6"/>
      <c r="F5" s="6"/>
      <c r="G5" s="6"/>
      <c r="H5" s="4"/>
      <c r="I5" s="6"/>
      <c r="J5" s="6"/>
      <c r="K5" s="6"/>
      <c r="L5" s="4"/>
      <c r="M5" s="6"/>
      <c r="N5" s="6"/>
      <c r="O5" s="4"/>
      <c r="P5" s="6"/>
      <c r="Q5" s="6"/>
      <c r="R5" s="4"/>
      <c r="S5" s="6"/>
      <c r="T5" s="15" t="s">
        <v>99</v>
      </c>
      <c r="U5" s="16" t="str">
        <f>$B$4</f>
        <v>331140.0250</v>
      </c>
      <c r="V5" s="16"/>
      <c r="W5" s="16" t="str">
        <f>$B$6</f>
        <v>UNI-Perfoplug 140 iso60-80  NY</v>
      </c>
      <c r="X5" s="16"/>
      <c r="Y5" s="16"/>
      <c r="Z5" s="50"/>
      <c r="AA5" s="4"/>
    </row>
    <row r="6" spans="1:27" ht="15.75" customHeight="1" x14ac:dyDescent="0.25">
      <c r="A6" s="12"/>
      <c r="B6" s="13" t="str">
        <f>VLOOKUP(B8,A56:E65,5)</f>
        <v>UNI-Perfoplug 140 iso60-80  NY</v>
      </c>
      <c r="C6" s="14"/>
      <c r="D6" s="40"/>
      <c r="E6" s="6"/>
      <c r="F6" s="6"/>
      <c r="G6" s="6"/>
      <c r="H6" s="4"/>
      <c r="I6" s="6"/>
      <c r="L6" s="4"/>
      <c r="M6" s="6"/>
      <c r="N6" s="6"/>
      <c r="O6" s="4"/>
      <c r="P6" s="6"/>
      <c r="Q6" s="6"/>
      <c r="R6" s="4"/>
      <c r="S6" s="6"/>
      <c r="AA6" s="4"/>
    </row>
    <row r="7" spans="1:27" ht="16.5" thickBot="1" x14ac:dyDescent="0.3">
      <c r="A7" s="12"/>
      <c r="B7" s="6"/>
      <c r="C7" s="14"/>
      <c r="D7" s="40"/>
      <c r="E7" s="6"/>
      <c r="F7" s="6"/>
      <c r="G7" s="6"/>
      <c r="H7" s="4"/>
      <c r="I7" s="6"/>
      <c r="J7" s="25" t="s">
        <v>12</v>
      </c>
      <c r="K7" s="25" t="s">
        <v>13</v>
      </c>
      <c r="L7" s="4"/>
      <c r="M7" s="6"/>
      <c r="N7" s="6"/>
      <c r="O7" s="4"/>
      <c r="P7" s="6"/>
      <c r="Q7" s="6"/>
      <c r="R7" s="4"/>
      <c r="S7" s="6"/>
      <c r="T7" s="32" t="s">
        <v>132</v>
      </c>
      <c r="U7" s="33" t="str">
        <f>VLOOKUP(C8,A56:G60,7)</f>
        <v>392220.0001</v>
      </c>
      <c r="V7" s="16"/>
      <c r="W7" s="16" t="str">
        <f>VLOOKUP(C8,A56:H60,8)</f>
        <v>Inslaghulpstuk zilver    KS/VD</v>
      </c>
      <c r="X7" s="16"/>
      <c r="Y7" s="16"/>
      <c r="Z7" s="50"/>
      <c r="AA7" s="4"/>
    </row>
    <row r="8" spans="1:27" ht="15.75" x14ac:dyDescent="0.25">
      <c r="A8" s="12"/>
      <c r="B8" s="26">
        <v>1</v>
      </c>
      <c r="C8" s="6">
        <f>VLOOKUP(B8,A56:D60,2)</f>
        <v>140</v>
      </c>
      <c r="D8" s="40"/>
      <c r="F8" s="27">
        <v>1</v>
      </c>
      <c r="G8" s="13">
        <f>VLOOKUP($F$8,H72:I91,2)</f>
        <v>20</v>
      </c>
      <c r="H8" s="4"/>
      <c r="I8" s="6"/>
      <c r="J8" s="86">
        <v>45</v>
      </c>
      <c r="K8" s="86">
        <v>75</v>
      </c>
      <c r="L8" s="4"/>
      <c r="M8" s="6"/>
      <c r="N8" s="6"/>
      <c r="O8" s="4"/>
      <c r="P8" s="6"/>
      <c r="Q8" s="6"/>
      <c r="R8" s="4"/>
      <c r="S8" s="6"/>
      <c r="Z8" s="16"/>
      <c r="AA8" s="4"/>
    </row>
    <row r="9" spans="1:27" ht="16.5" thickBot="1" x14ac:dyDescent="0.3">
      <c r="A9" s="12"/>
      <c r="B9" s="6"/>
      <c r="C9" s="14"/>
      <c r="D9" s="40"/>
      <c r="E9" s="6"/>
      <c r="F9" s="6"/>
      <c r="G9" s="6"/>
      <c r="H9" s="4"/>
      <c r="I9" s="6"/>
      <c r="J9" s="87"/>
      <c r="K9" s="87"/>
      <c r="L9" s="4"/>
      <c r="M9" s="6"/>
      <c r="N9" s="6"/>
      <c r="O9" s="4"/>
      <c r="P9" s="6"/>
      <c r="Q9" s="6"/>
      <c r="R9" s="4"/>
      <c r="S9" s="6"/>
      <c r="Z9" s="16"/>
      <c r="AA9" s="4"/>
    </row>
    <row r="10" spans="1:27" ht="15.75" x14ac:dyDescent="0.25">
      <c r="A10" s="12"/>
      <c r="B10" s="6"/>
      <c r="C10" s="14"/>
      <c r="D10" s="40"/>
      <c r="E10" s="6"/>
      <c r="F10" s="6"/>
      <c r="G10" s="6"/>
      <c r="H10" s="4"/>
      <c r="I10" s="6"/>
      <c r="J10" s="6"/>
      <c r="K10" s="6"/>
      <c r="L10" s="4"/>
      <c r="M10" s="6"/>
      <c r="N10" s="6"/>
      <c r="O10" s="4"/>
      <c r="P10" s="6"/>
      <c r="Q10" s="6"/>
      <c r="R10" s="4"/>
      <c r="S10" s="6"/>
      <c r="T10" s="46" t="str">
        <f>IF(Z50=0," ",CONCATENATE(AB50," buitenblad toepassing!"))</f>
        <v xml:space="preserve"> </v>
      </c>
      <c r="U10" s="47"/>
      <c r="V10" s="47"/>
      <c r="W10" s="47"/>
      <c r="X10" s="47"/>
      <c r="Y10" s="47"/>
      <c r="Z10" s="16"/>
      <c r="AA10" s="4"/>
    </row>
    <row r="11" spans="1:27" ht="15.75" x14ac:dyDescent="0.25">
      <c r="A11" s="12"/>
      <c r="B11" s="6"/>
      <c r="C11" s="14"/>
      <c r="D11" s="40"/>
      <c r="E11" s="6"/>
      <c r="F11" s="6"/>
      <c r="G11" s="6"/>
      <c r="H11" s="4"/>
      <c r="I11" s="6"/>
      <c r="J11" s="6"/>
      <c r="K11" s="6"/>
      <c r="L11" s="4"/>
      <c r="M11" s="6"/>
      <c r="N11" s="6"/>
      <c r="O11" s="4"/>
      <c r="P11" s="6"/>
      <c r="Q11" s="6"/>
      <c r="R11" s="4"/>
      <c r="S11" s="6"/>
      <c r="T11" s="32" t="str">
        <f>IF(Z50=0," ","Anker:")</f>
        <v xml:space="preserve"> </v>
      </c>
      <c r="U11" s="33" t="str">
        <f>IF($Z$50=0,"",IF($Z$50=1,Y74,AE74))</f>
        <v/>
      </c>
      <c r="V11" s="47"/>
      <c r="W11" s="33" t="str">
        <f>IF($Z$50=0,"",IF($Z$50=1,AA74,AG74))</f>
        <v/>
      </c>
      <c r="X11" s="47"/>
      <c r="Y11" s="47"/>
      <c r="Z11" s="58" t="s">
        <v>188</v>
      </c>
      <c r="AA11" s="37"/>
    </row>
    <row r="12" spans="1:27" ht="21" x14ac:dyDescent="0.35">
      <c r="A12" s="12"/>
      <c r="B12" s="6"/>
      <c r="C12" s="17">
        <f>C8</f>
        <v>140</v>
      </c>
      <c r="D12" s="40"/>
      <c r="E12" s="6"/>
      <c r="F12" s="6"/>
      <c r="G12" s="18">
        <f>VLOOKUP($F$8,H72:I91,2)</f>
        <v>20</v>
      </c>
      <c r="H12" s="4"/>
      <c r="I12" s="6"/>
      <c r="J12" s="82" t="str">
        <f>CONCATENATE(J8," - ",K8)</f>
        <v>45 - 75</v>
      </c>
      <c r="K12" s="82"/>
      <c r="L12" s="4"/>
      <c r="M12" s="6"/>
      <c r="N12" s="6"/>
      <c r="O12" s="4"/>
      <c r="P12" s="20">
        <f>C12+G12+J8</f>
        <v>205</v>
      </c>
      <c r="Q12" s="19" t="s">
        <v>17</v>
      </c>
      <c r="R12" s="43">
        <f>C12+G12+K8</f>
        <v>235</v>
      </c>
      <c r="S12" s="6"/>
      <c r="T12" s="47"/>
      <c r="U12" s="75" t="str">
        <f>IF($Z$50=0,"Kies eerst gemetselde of gelijmde buitengevel bij buitenblad!",IF($Z$50=1,Y75,AE75))</f>
        <v>Kies eerst gemetselde of gelijmde buitengevel bij buitenblad!</v>
      </c>
      <c r="V12" s="75"/>
      <c r="W12" s="75"/>
      <c r="X12" s="75"/>
      <c r="Y12" s="75"/>
      <c r="Z12" s="75"/>
      <c r="AA12" s="89"/>
    </row>
    <row r="13" spans="1:27" ht="15.75" x14ac:dyDescent="0.25">
      <c r="A13" s="12"/>
      <c r="B13" s="6"/>
      <c r="C13" s="14"/>
      <c r="D13" s="40"/>
      <c r="E13" s="6"/>
      <c r="F13" s="6"/>
      <c r="G13" s="6"/>
      <c r="H13" s="4"/>
      <c r="I13" s="6"/>
      <c r="J13" s="6"/>
      <c r="K13" s="6"/>
      <c r="L13" s="4"/>
      <c r="M13" s="88" t="str">
        <f>IF(Z50=0,"kies hier voor een gemetselde of een gelijmde buitengevel!","")</f>
        <v>kies hier voor een gemetselde of een gelijmde buitengevel!</v>
      </c>
      <c r="N13" s="80"/>
      <c r="O13" s="81"/>
      <c r="P13" s="6"/>
      <c r="Q13" s="6"/>
      <c r="R13" s="4"/>
      <c r="S13" s="6"/>
      <c r="T13" s="47"/>
      <c r="U13" s="33" t="str">
        <f>IF($Z$50=0,"",IF($Z$50=1,Y76,AE76))</f>
        <v/>
      </c>
      <c r="V13" s="47"/>
      <c r="W13" s="33" t="str">
        <f>IF($Z$50=0,"",IF(Z50=1,AA76,AG76))</f>
        <v/>
      </c>
      <c r="X13" s="47"/>
      <c r="Y13" s="47"/>
      <c r="Z13" s="58" t="s">
        <v>188</v>
      </c>
      <c r="AA13" s="37" t="s">
        <v>189</v>
      </c>
    </row>
    <row r="14" spans="1:27" ht="15.75" x14ac:dyDescent="0.25">
      <c r="A14" s="12"/>
      <c r="B14" s="6"/>
      <c r="C14" s="14"/>
      <c r="D14" s="40"/>
      <c r="E14" s="6"/>
      <c r="F14" s="6"/>
      <c r="G14" s="6"/>
      <c r="H14" s="4"/>
      <c r="I14" s="6"/>
      <c r="J14" s="6"/>
      <c r="K14" s="6"/>
      <c r="L14" s="4"/>
      <c r="M14" s="88"/>
      <c r="N14" s="80"/>
      <c r="O14" s="81"/>
      <c r="P14" s="6"/>
      <c r="Q14" s="6"/>
      <c r="R14" s="4"/>
      <c r="S14" s="6"/>
      <c r="T14" s="48"/>
      <c r="U14" s="48"/>
      <c r="V14" s="48"/>
      <c r="W14" s="48"/>
      <c r="X14" s="48"/>
      <c r="Y14" s="48"/>
      <c r="Z14" s="6"/>
      <c r="AA14" s="4"/>
    </row>
    <row r="15" spans="1:27" ht="15.75" x14ac:dyDescent="0.25">
      <c r="A15" s="12"/>
      <c r="B15" s="6"/>
      <c r="C15" s="14"/>
      <c r="D15" s="40"/>
      <c r="E15" s="6"/>
      <c r="F15" s="6"/>
      <c r="G15" s="6"/>
      <c r="H15" s="4"/>
      <c r="I15" s="6"/>
      <c r="J15" s="6"/>
      <c r="K15" s="6"/>
      <c r="L15" s="4"/>
      <c r="M15" s="88"/>
      <c r="N15" s="80"/>
      <c r="O15" s="81"/>
      <c r="P15" s="6"/>
      <c r="Q15" s="6"/>
      <c r="R15" s="4"/>
      <c r="S15" s="6"/>
      <c r="T15" s="15" t="str">
        <f>IF(Z50=0,"","Hulpstuk:")</f>
        <v/>
      </c>
      <c r="U15" s="33" t="str">
        <f>IF($Z$50=0," ",IF($Z$50=1,"39010.0001","39012.0001"))</f>
        <v xml:space="preserve"> </v>
      </c>
      <c r="V15" s="33"/>
      <c r="W15" s="33" t="str">
        <f>IF($Z$50=0," ",IF($Z$50=1,"Indraaihulpstuk GP","Indraaihulpstuk EV"))</f>
        <v xml:space="preserve"> </v>
      </c>
      <c r="X15" s="16"/>
      <c r="Y15" s="48"/>
      <c r="Z15" s="58" t="s">
        <v>188</v>
      </c>
      <c r="AA15" s="4"/>
    </row>
    <row r="16" spans="1:27" x14ac:dyDescent="0.25">
      <c r="A16" s="12"/>
      <c r="B16" s="6"/>
      <c r="C16" s="14"/>
      <c r="D16" s="40"/>
      <c r="E16" s="6"/>
      <c r="F16" s="6"/>
      <c r="G16" s="6"/>
      <c r="H16" s="6"/>
      <c r="I16" s="12"/>
      <c r="J16" s="6"/>
      <c r="K16" s="6"/>
      <c r="L16" s="4"/>
      <c r="M16" s="6"/>
      <c r="N16" s="6"/>
      <c r="O16" s="4"/>
      <c r="P16" s="6"/>
      <c r="Q16" s="6"/>
      <c r="R16" s="4"/>
      <c r="S16" s="6"/>
      <c r="T16" s="6"/>
      <c r="U16" s="6"/>
      <c r="V16" s="6"/>
      <c r="W16" s="6"/>
      <c r="X16" s="6"/>
      <c r="Y16" s="6"/>
      <c r="Z16" s="6"/>
      <c r="AA16" s="4"/>
    </row>
    <row r="17" spans="1:27" ht="15.75" thickBot="1" x14ac:dyDescent="0.3">
      <c r="A17" s="21"/>
      <c r="B17" s="22"/>
      <c r="C17" s="23"/>
      <c r="D17" s="23"/>
      <c r="E17" s="21"/>
      <c r="F17" s="22"/>
      <c r="G17" s="22"/>
      <c r="H17" s="22"/>
      <c r="I17" s="21"/>
      <c r="J17" s="22"/>
      <c r="K17" s="22"/>
      <c r="L17" s="24"/>
      <c r="M17" s="22"/>
      <c r="N17" s="22"/>
      <c r="O17" s="24"/>
      <c r="P17" s="22"/>
      <c r="Q17" s="22"/>
      <c r="R17" s="24"/>
      <c r="S17" s="22"/>
      <c r="T17" s="22"/>
      <c r="U17" s="22"/>
      <c r="V17" s="22"/>
      <c r="W17" s="22"/>
      <c r="X17" s="22"/>
      <c r="Y17" s="22"/>
      <c r="Z17" s="22"/>
      <c r="AA17" s="24"/>
    </row>
    <row r="18" spans="1:27" ht="15.75" thickTop="1" x14ac:dyDescent="0.25">
      <c r="D18" s="41"/>
      <c r="H18" s="42"/>
      <c r="J18" s="6"/>
      <c r="O18" s="6"/>
      <c r="P18" s="6"/>
      <c r="Q18" s="6"/>
      <c r="R18" s="44"/>
      <c r="S18" s="6"/>
      <c r="V18" s="6"/>
      <c r="AA18" s="44"/>
    </row>
    <row r="19" spans="1:27" x14ac:dyDescent="0.25">
      <c r="D19" s="41"/>
      <c r="H19" s="42"/>
      <c r="J19" s="6"/>
      <c r="O19" s="6"/>
      <c r="P19" s="6"/>
      <c r="Q19" s="6"/>
      <c r="R19" s="42"/>
      <c r="S19" s="6"/>
      <c r="V19" s="6"/>
      <c r="AA19" s="42"/>
    </row>
    <row r="20" spans="1:27" s="28" customFormat="1" x14ac:dyDescent="0.25">
      <c r="C20" s="1"/>
      <c r="D20" s="41"/>
      <c r="H20" s="42"/>
      <c r="J20" s="6"/>
      <c r="O20" s="6"/>
      <c r="P20" s="6"/>
      <c r="Q20" s="6"/>
      <c r="R20" s="42"/>
      <c r="S20" s="6"/>
      <c r="V20" s="6"/>
      <c r="AA20" s="42"/>
    </row>
    <row r="21" spans="1:27" s="28" customFormat="1" x14ac:dyDescent="0.25">
      <c r="C21" s="1"/>
      <c r="D21" s="41"/>
      <c r="H21" s="42"/>
      <c r="J21" s="6"/>
      <c r="O21" s="6"/>
      <c r="P21" s="6"/>
      <c r="Q21" s="6"/>
      <c r="R21" s="42"/>
      <c r="S21" s="6"/>
      <c r="V21" s="6"/>
      <c r="AA21" s="42"/>
    </row>
    <row r="22" spans="1:27" s="28" customFormat="1" x14ac:dyDescent="0.25">
      <c r="C22" s="1"/>
      <c r="D22" s="41"/>
      <c r="H22" s="42"/>
      <c r="J22" s="6"/>
      <c r="O22" s="6"/>
      <c r="P22" s="6"/>
      <c r="Q22" s="6"/>
      <c r="R22" s="42"/>
      <c r="S22" s="6"/>
      <c r="V22" s="6"/>
      <c r="AA22" s="42"/>
    </row>
    <row r="23" spans="1:27" s="28" customFormat="1" x14ac:dyDescent="0.25">
      <c r="C23" s="1"/>
      <c r="D23" s="41"/>
      <c r="H23" s="42"/>
      <c r="J23" s="6"/>
      <c r="O23" s="6"/>
      <c r="P23" s="6"/>
      <c r="Q23" s="6"/>
      <c r="R23" s="42"/>
      <c r="S23" s="6"/>
      <c r="V23" s="6"/>
      <c r="AA23" s="42"/>
    </row>
    <row r="24" spans="1:27" s="28" customFormat="1" x14ac:dyDescent="0.25">
      <c r="C24" s="1"/>
      <c r="D24" s="41"/>
      <c r="H24" s="42"/>
      <c r="J24" s="6"/>
      <c r="O24" s="6"/>
      <c r="P24" s="6"/>
      <c r="Q24" s="6"/>
      <c r="R24" s="42"/>
      <c r="S24" s="6"/>
      <c r="V24" s="6"/>
      <c r="AA24" s="42"/>
    </row>
    <row r="25" spans="1:27" s="28" customFormat="1" x14ac:dyDescent="0.25">
      <c r="C25" s="1"/>
      <c r="D25" s="41"/>
      <c r="H25" s="42"/>
      <c r="J25" s="6"/>
      <c r="O25" s="6"/>
      <c r="P25" s="6"/>
      <c r="Q25" s="6"/>
      <c r="R25" s="42"/>
      <c r="S25" s="6"/>
      <c r="V25" s="6"/>
      <c r="AA25" s="42"/>
    </row>
    <row r="26" spans="1:27" s="28" customFormat="1" x14ac:dyDescent="0.25">
      <c r="C26" s="1"/>
      <c r="D26" s="41"/>
      <c r="H26" s="42"/>
      <c r="J26" s="6"/>
      <c r="O26" s="6"/>
      <c r="P26" s="6"/>
      <c r="Q26" s="6"/>
      <c r="R26" s="42"/>
      <c r="S26" s="6"/>
      <c r="V26" s="6"/>
      <c r="AA26" s="42"/>
    </row>
    <row r="27" spans="1:27" s="28" customFormat="1" x14ac:dyDescent="0.25">
      <c r="C27" s="1"/>
      <c r="D27" s="41"/>
      <c r="H27" s="42"/>
      <c r="J27" s="6"/>
      <c r="O27" s="6"/>
      <c r="P27" s="6"/>
      <c r="Q27" s="6"/>
      <c r="R27" s="42"/>
      <c r="S27" s="6"/>
      <c r="V27" s="6"/>
      <c r="AA27" s="42"/>
    </row>
    <row r="28" spans="1:27" s="28" customFormat="1" x14ac:dyDescent="0.25">
      <c r="C28" s="1"/>
      <c r="D28" s="41"/>
      <c r="H28" s="42"/>
      <c r="J28" s="6"/>
      <c r="O28" s="6"/>
      <c r="P28" s="6"/>
      <c r="Q28" s="6"/>
      <c r="R28" s="42"/>
      <c r="S28" s="6"/>
      <c r="V28" s="6"/>
      <c r="AA28" s="42"/>
    </row>
    <row r="29" spans="1:27" s="28" customFormat="1" ht="21.75" customHeight="1" x14ac:dyDescent="0.25">
      <c r="C29" s="1"/>
      <c r="D29" s="41"/>
      <c r="H29" s="42"/>
      <c r="J29" s="6"/>
      <c r="O29" s="6"/>
      <c r="P29" s="6"/>
      <c r="Q29" s="6"/>
      <c r="R29" s="42"/>
      <c r="S29" s="6"/>
      <c r="V29" s="6"/>
      <c r="AA29" s="42"/>
    </row>
    <row r="30" spans="1:27" s="28" customFormat="1" x14ac:dyDescent="0.25">
      <c r="C30" s="1"/>
      <c r="D30" s="1"/>
      <c r="J30" s="6"/>
      <c r="O30" s="6"/>
      <c r="P30" s="6"/>
      <c r="Q30" s="6"/>
      <c r="R30" s="6"/>
      <c r="S30" s="6"/>
      <c r="V30" s="6"/>
    </row>
    <row r="31" spans="1:27" s="28" customFormat="1" x14ac:dyDescent="0.25">
      <c r="C31" s="1"/>
      <c r="D31" s="1"/>
      <c r="E31" s="62"/>
      <c r="F31" s="63"/>
      <c r="G31" s="63"/>
      <c r="H31" s="63"/>
      <c r="I31" s="63"/>
      <c r="J31" s="64"/>
      <c r="K31" s="63"/>
      <c r="L31" s="63"/>
      <c r="M31" s="63"/>
      <c r="N31" s="63"/>
      <c r="O31" s="64"/>
      <c r="P31" s="64"/>
      <c r="Q31" s="64"/>
      <c r="R31" s="64"/>
      <c r="S31" s="6"/>
      <c r="V31" s="6"/>
    </row>
    <row r="32" spans="1:27" s="28" customFormat="1" x14ac:dyDescent="0.25">
      <c r="C32" s="1"/>
      <c r="D32" s="1"/>
      <c r="E32" s="63"/>
      <c r="F32" s="63"/>
      <c r="G32" s="63"/>
      <c r="H32" s="63"/>
      <c r="I32" s="63"/>
      <c r="J32" s="64"/>
      <c r="K32" s="63"/>
      <c r="L32" s="63"/>
      <c r="M32" s="63"/>
      <c r="N32" s="63"/>
      <c r="O32" s="64"/>
      <c r="P32" s="64"/>
      <c r="Q32" s="64"/>
      <c r="R32" s="64"/>
      <c r="S32" s="6"/>
      <c r="V32" s="6"/>
    </row>
    <row r="33" spans="3:22" s="28" customFormat="1" x14ac:dyDescent="0.25">
      <c r="C33" s="1"/>
      <c r="D33" s="1"/>
      <c r="E33" s="63"/>
      <c r="F33" s="63"/>
      <c r="G33" s="63"/>
      <c r="H33" s="63"/>
      <c r="I33" s="63"/>
      <c r="J33" s="64"/>
      <c r="K33" s="63"/>
      <c r="L33" s="63"/>
      <c r="M33" s="63"/>
      <c r="N33" s="63"/>
      <c r="O33" s="64"/>
      <c r="P33" s="64"/>
      <c r="Q33" s="64"/>
      <c r="R33" s="64"/>
      <c r="S33" s="6"/>
      <c r="V33" s="6"/>
    </row>
    <row r="34" spans="3:22" s="28" customFormat="1" ht="18.75" x14ac:dyDescent="0.25">
      <c r="C34" s="1"/>
      <c r="D34" s="1"/>
      <c r="E34" s="63"/>
      <c r="F34" s="63"/>
      <c r="G34" s="63"/>
      <c r="H34" s="63"/>
      <c r="I34" s="65"/>
      <c r="J34" s="63"/>
      <c r="K34" s="66"/>
      <c r="L34" s="65"/>
      <c r="M34" s="63"/>
      <c r="N34" s="63"/>
      <c r="O34" s="64"/>
      <c r="P34" s="64"/>
      <c r="Q34" s="64"/>
      <c r="R34" s="64"/>
      <c r="S34" s="6"/>
      <c r="V34" s="6"/>
    </row>
    <row r="35" spans="3:22" s="28" customFormat="1" x14ac:dyDescent="0.25">
      <c r="C35" s="1"/>
      <c r="D35" s="1"/>
      <c r="E35" s="63"/>
      <c r="F35" s="63"/>
      <c r="G35" s="63"/>
      <c r="H35" s="63"/>
      <c r="I35" s="63"/>
      <c r="J35" s="64"/>
      <c r="K35" s="63"/>
      <c r="L35" s="63"/>
      <c r="M35" s="63"/>
      <c r="N35" s="63"/>
      <c r="O35" s="64"/>
      <c r="P35" s="64"/>
      <c r="Q35" s="64"/>
      <c r="R35" s="64"/>
      <c r="S35" s="6"/>
      <c r="V35" s="6"/>
    </row>
    <row r="36" spans="3:22" s="28" customFormat="1" x14ac:dyDescent="0.25">
      <c r="C36" s="1"/>
      <c r="D36" s="1"/>
      <c r="J36" s="6"/>
      <c r="O36" s="6"/>
      <c r="P36" s="6"/>
      <c r="Q36" s="6"/>
      <c r="R36" s="6"/>
      <c r="S36" s="6"/>
      <c r="V36" s="6"/>
    </row>
    <row r="37" spans="3:22" s="28" customFormat="1" x14ac:dyDescent="0.25">
      <c r="C37" s="1"/>
      <c r="D37" s="1"/>
      <c r="J37" s="6"/>
      <c r="O37" s="6"/>
      <c r="P37" s="6"/>
      <c r="Q37" s="6"/>
      <c r="R37" s="6"/>
      <c r="S37" s="6"/>
      <c r="V37" s="6"/>
    </row>
    <row r="38" spans="3:22" s="28" customFormat="1" x14ac:dyDescent="0.25">
      <c r="C38" s="1"/>
      <c r="D38" s="1"/>
      <c r="J38" s="6"/>
      <c r="O38" s="6"/>
      <c r="P38" s="6"/>
      <c r="Q38" s="6"/>
      <c r="R38" s="6"/>
      <c r="S38" s="6"/>
      <c r="V38" s="6"/>
    </row>
    <row r="39" spans="3:22" s="28" customFormat="1" x14ac:dyDescent="0.25">
      <c r="C39" s="1"/>
      <c r="D39" s="1"/>
      <c r="J39" s="6"/>
      <c r="O39" s="6"/>
      <c r="P39" s="6"/>
      <c r="Q39" s="6"/>
      <c r="R39" s="6"/>
      <c r="S39" s="6"/>
      <c r="V39" s="6"/>
    </row>
    <row r="40" spans="3:22" s="28" customFormat="1" x14ac:dyDescent="0.25">
      <c r="C40" s="1"/>
      <c r="D40" s="1"/>
      <c r="J40" s="6"/>
      <c r="O40" s="6"/>
      <c r="P40" s="6"/>
      <c r="Q40" s="6"/>
      <c r="R40" s="6"/>
      <c r="S40" s="6"/>
      <c r="V40" s="6"/>
    </row>
    <row r="41" spans="3:22" s="28" customFormat="1" x14ac:dyDescent="0.25">
      <c r="C41" s="1"/>
      <c r="D41" s="1"/>
      <c r="J41" s="6"/>
      <c r="O41" s="6"/>
      <c r="P41" s="6"/>
      <c r="Q41" s="6"/>
      <c r="R41" s="6"/>
      <c r="S41" s="6"/>
      <c r="V41" s="6"/>
    </row>
    <row r="42" spans="3:22" s="28" customFormat="1" x14ac:dyDescent="0.25">
      <c r="C42" s="1"/>
      <c r="D42" s="1"/>
      <c r="J42" s="6"/>
      <c r="O42" s="6"/>
      <c r="P42" s="6"/>
      <c r="Q42" s="6"/>
      <c r="R42" s="6"/>
      <c r="S42" s="6"/>
      <c r="V42" s="6"/>
    </row>
    <row r="43" spans="3:22" s="28" customFormat="1" x14ac:dyDescent="0.25">
      <c r="C43" s="1"/>
      <c r="D43" s="1"/>
      <c r="J43" s="6"/>
      <c r="O43" s="6"/>
      <c r="P43" s="6"/>
      <c r="Q43" s="6"/>
      <c r="R43" s="6"/>
      <c r="S43" s="6"/>
      <c r="V43" s="6"/>
    </row>
    <row r="44" spans="3:22" s="28" customFormat="1" x14ac:dyDescent="0.25">
      <c r="C44" s="1"/>
      <c r="D44" s="1"/>
      <c r="J44" s="6"/>
      <c r="O44" s="6"/>
      <c r="P44" s="6"/>
      <c r="Q44" s="6"/>
      <c r="R44" s="6"/>
      <c r="S44" s="6"/>
      <c r="V44" s="6"/>
    </row>
    <row r="45" spans="3:22" s="28" customFormat="1" x14ac:dyDescent="0.25">
      <c r="C45" s="1"/>
      <c r="D45" s="1"/>
      <c r="G45" s="34"/>
      <c r="H45" s="34"/>
      <c r="I45" s="34"/>
      <c r="J45" s="6"/>
      <c r="O45" s="6"/>
      <c r="P45" s="6"/>
      <c r="Q45" s="6"/>
      <c r="R45" s="6"/>
      <c r="S45" s="6"/>
      <c r="V45" s="6"/>
    </row>
    <row r="46" spans="3:22" s="28" customFormat="1" x14ac:dyDescent="0.25">
      <c r="C46" s="1"/>
      <c r="D46" s="1"/>
      <c r="J46" s="6"/>
      <c r="O46" s="6"/>
      <c r="P46" s="6"/>
      <c r="Q46" s="6"/>
      <c r="R46" s="6"/>
      <c r="S46" s="6"/>
      <c r="V46" s="6"/>
    </row>
    <row r="47" spans="3:22" s="28" customFormat="1" x14ac:dyDescent="0.25">
      <c r="C47" s="1"/>
      <c r="D47" s="1"/>
      <c r="G47" s="34"/>
      <c r="H47" s="34"/>
      <c r="I47" s="34"/>
      <c r="J47" s="6"/>
      <c r="O47" s="6"/>
      <c r="P47" s="6"/>
      <c r="Q47" s="6"/>
      <c r="R47" s="6"/>
      <c r="S47" s="6"/>
      <c r="V47" s="6"/>
    </row>
    <row r="48" spans="3:22" s="28" customFormat="1" x14ac:dyDescent="0.25">
      <c r="C48" s="1"/>
      <c r="D48" s="1"/>
      <c r="G48" s="34"/>
      <c r="H48" s="34"/>
      <c r="I48" s="34"/>
      <c r="J48" s="6"/>
      <c r="O48" s="6"/>
      <c r="P48" s="6"/>
      <c r="Q48" s="6"/>
      <c r="R48" s="6"/>
      <c r="S48" s="6"/>
      <c r="V48" s="6"/>
    </row>
    <row r="49" spans="1:35" x14ac:dyDescent="0.25">
      <c r="G49" s="34"/>
      <c r="H49" s="34"/>
      <c r="I49" s="34"/>
      <c r="J49" s="6"/>
      <c r="O49" s="6"/>
      <c r="P49" s="6"/>
      <c r="Q49" s="6"/>
      <c r="R49" s="6"/>
      <c r="S49" s="6"/>
      <c r="V49" s="6"/>
    </row>
    <row r="50" spans="1:35" hidden="1" x14ac:dyDescent="0.25">
      <c r="J50" s="6"/>
      <c r="O50" s="6"/>
      <c r="P50" s="6"/>
      <c r="Q50" s="6"/>
      <c r="R50" s="6"/>
      <c r="S50" s="6"/>
      <c r="V50" s="6"/>
      <c r="X50" s="34" t="s">
        <v>153</v>
      </c>
      <c r="Z50" s="45">
        <v>0</v>
      </c>
      <c r="AB50" s="34" t="str">
        <f>IF(Z50=1,Y53,AD53)</f>
        <v>Gelijmde</v>
      </c>
    </row>
    <row r="51" spans="1:35" hidden="1" x14ac:dyDescent="0.25">
      <c r="G51" s="34"/>
      <c r="H51" s="34"/>
      <c r="I51" s="34"/>
      <c r="J51" s="6"/>
      <c r="O51" s="6"/>
      <c r="P51" s="6"/>
      <c r="Q51" s="6"/>
      <c r="R51" s="6"/>
      <c r="S51" s="6"/>
      <c r="V51" s="6"/>
    </row>
    <row r="52" spans="1:35" hidden="1" x14ac:dyDescent="0.25">
      <c r="J52" s="6"/>
      <c r="O52" s="6"/>
      <c r="P52" s="6"/>
      <c r="Q52" s="6"/>
      <c r="R52" s="6"/>
      <c r="S52" s="6"/>
      <c r="V52" s="6"/>
    </row>
    <row r="53" spans="1:35" hidden="1" x14ac:dyDescent="0.25">
      <c r="X53" s="5">
        <v>1</v>
      </c>
      <c r="Y53" s="5" t="s">
        <v>154</v>
      </c>
      <c r="AC53" s="34">
        <v>2</v>
      </c>
      <c r="AD53" s="34" t="s">
        <v>155</v>
      </c>
      <c r="AE53" s="34"/>
      <c r="AH53" s="34"/>
    </row>
    <row r="54" spans="1:35" hidden="1" x14ac:dyDescent="0.25">
      <c r="E54" s="6"/>
      <c r="AC54" s="34"/>
      <c r="AD54" s="34"/>
      <c r="AE54" s="34"/>
      <c r="AH54" s="34"/>
    </row>
    <row r="55" spans="1:35" hidden="1" x14ac:dyDescent="0.25">
      <c r="B55" s="5" t="s">
        <v>0</v>
      </c>
      <c r="E55" s="6"/>
      <c r="G55" s="34" t="s">
        <v>131</v>
      </c>
      <c r="H55" s="34"/>
      <c r="X55" s="5">
        <f>IF(Y55=TRUE,1,0)</f>
        <v>0</v>
      </c>
      <c r="Y55" s="5" t="b">
        <f>AND(AC$55&gt;=$P$12,AC$55&lt;=$R$12)</f>
        <v>0</v>
      </c>
      <c r="Z55" s="1" t="s">
        <v>79</v>
      </c>
      <c r="AA55" s="5" t="s">
        <v>80</v>
      </c>
      <c r="AC55" s="5">
        <v>160</v>
      </c>
      <c r="AD55" s="34">
        <f>IF(AE55=TRUE,1,0)</f>
        <v>0</v>
      </c>
      <c r="AE55" s="34" t="b">
        <f t="shared" ref="AE55:AE64" si="0">AND($AC55&gt;=$P$12,$AC55&lt;=$R$12)</f>
        <v>0</v>
      </c>
      <c r="AF55" s="34" t="s">
        <v>133</v>
      </c>
      <c r="AG55" s="34" t="s">
        <v>134</v>
      </c>
      <c r="AI55" s="34"/>
    </row>
    <row r="56" spans="1:35" hidden="1" x14ac:dyDescent="0.25">
      <c r="A56" s="5">
        <v>1</v>
      </c>
      <c r="B56" s="5">
        <v>140</v>
      </c>
      <c r="C56" s="2" t="s">
        <v>20</v>
      </c>
      <c r="D56" s="1" t="s">
        <v>74</v>
      </c>
      <c r="E56" s="14" t="s">
        <v>69</v>
      </c>
      <c r="G56" s="34" t="s">
        <v>108</v>
      </c>
      <c r="H56" s="34" t="s">
        <v>109</v>
      </c>
      <c r="I56" s="34" t="s">
        <v>110</v>
      </c>
      <c r="X56" s="5">
        <f>IF(Y56=TRUE,X55+1,0)</f>
        <v>0</v>
      </c>
      <c r="Y56" s="5" t="b">
        <f t="shared" ref="Y56:Y64" si="1">AND(AC56&gt;=$P$12,AC56&lt;=$R$12)</f>
        <v>0</v>
      </c>
      <c r="Z56" s="1" t="s">
        <v>81</v>
      </c>
      <c r="AA56" s="5" t="s">
        <v>82</v>
      </c>
      <c r="AC56" s="5">
        <v>190</v>
      </c>
      <c r="AD56" s="34">
        <f>IF(AE56=TRUE,AD55+1,0)</f>
        <v>0</v>
      </c>
      <c r="AE56" s="34" t="b">
        <f t="shared" si="0"/>
        <v>0</v>
      </c>
      <c r="AF56" s="34" t="s">
        <v>135</v>
      </c>
      <c r="AG56" s="34" t="s">
        <v>136</v>
      </c>
      <c r="AI56" s="34"/>
    </row>
    <row r="57" spans="1:35" hidden="1" x14ac:dyDescent="0.25">
      <c r="A57" s="5">
        <v>2</v>
      </c>
      <c r="B57" s="5">
        <v>160</v>
      </c>
      <c r="C57" s="2" t="s">
        <v>57</v>
      </c>
      <c r="D57" s="1" t="s">
        <v>75</v>
      </c>
      <c r="E57" s="14" t="s">
        <v>70</v>
      </c>
      <c r="G57" s="34" t="s">
        <v>102</v>
      </c>
      <c r="H57" s="34" t="s">
        <v>111</v>
      </c>
      <c r="I57" s="34" t="s">
        <v>112</v>
      </c>
      <c r="X57" s="5">
        <f t="shared" ref="X57:X64" si="2">IF(Y57=TRUE,X56+1,0)</f>
        <v>1</v>
      </c>
      <c r="Y57" s="5" t="b">
        <f t="shared" si="1"/>
        <v>1</v>
      </c>
      <c r="Z57" s="1" t="s">
        <v>83</v>
      </c>
      <c r="AA57" s="5" t="s">
        <v>84</v>
      </c>
      <c r="AC57" s="5">
        <v>220</v>
      </c>
      <c r="AD57" s="34">
        <f t="shared" ref="AD57:AD64" si="3">IF(AE57=TRUE,AD56+1,0)</f>
        <v>1</v>
      </c>
      <c r="AE57" s="34" t="b">
        <f t="shared" si="0"/>
        <v>1</v>
      </c>
      <c r="AF57" s="34" t="s">
        <v>137</v>
      </c>
      <c r="AG57" s="34" t="s">
        <v>138</v>
      </c>
      <c r="AI57" s="34"/>
    </row>
    <row r="58" spans="1:35" hidden="1" x14ac:dyDescent="0.25">
      <c r="A58" s="5">
        <v>3</v>
      </c>
      <c r="B58" s="5">
        <v>180</v>
      </c>
      <c r="C58" s="2" t="s">
        <v>58</v>
      </c>
      <c r="D58" s="1" t="s">
        <v>76</v>
      </c>
      <c r="E58" s="14" t="s">
        <v>71</v>
      </c>
      <c r="G58" s="34" t="s">
        <v>122</v>
      </c>
      <c r="H58" s="34" t="s">
        <v>123</v>
      </c>
      <c r="I58" s="34" t="s">
        <v>124</v>
      </c>
      <c r="X58" s="5">
        <f t="shared" si="2"/>
        <v>0</v>
      </c>
      <c r="Y58" s="5" t="b">
        <f t="shared" si="1"/>
        <v>0</v>
      </c>
      <c r="Z58" s="1" t="s">
        <v>87</v>
      </c>
      <c r="AA58" s="5" t="s">
        <v>88</v>
      </c>
      <c r="AC58" s="5">
        <v>250</v>
      </c>
      <c r="AD58" s="34">
        <f t="shared" si="3"/>
        <v>0</v>
      </c>
      <c r="AE58" s="34" t="b">
        <f t="shared" si="0"/>
        <v>0</v>
      </c>
      <c r="AF58" s="34" t="s">
        <v>139</v>
      </c>
      <c r="AG58" s="34" t="s">
        <v>140</v>
      </c>
      <c r="AI58" s="34"/>
    </row>
    <row r="59" spans="1:35" hidden="1" x14ac:dyDescent="0.25">
      <c r="A59" s="5">
        <v>4</v>
      </c>
      <c r="B59" s="5">
        <v>200</v>
      </c>
      <c r="C59" s="2" t="s">
        <v>59</v>
      </c>
      <c r="D59" s="1" t="s">
        <v>77</v>
      </c>
      <c r="E59" s="14" t="s">
        <v>72</v>
      </c>
      <c r="G59" s="38" t="s">
        <v>128</v>
      </c>
      <c r="H59" s="38" t="s">
        <v>129</v>
      </c>
      <c r="I59" s="38"/>
      <c r="X59" s="5">
        <f t="shared" si="2"/>
        <v>0</v>
      </c>
      <c r="Y59" s="5" t="b">
        <f t="shared" si="1"/>
        <v>0</v>
      </c>
      <c r="Z59" s="1" t="s">
        <v>85</v>
      </c>
      <c r="AA59" s="5" t="s">
        <v>86</v>
      </c>
      <c r="AC59" s="5">
        <v>275</v>
      </c>
      <c r="AD59" s="34">
        <f t="shared" si="3"/>
        <v>0</v>
      </c>
      <c r="AE59" s="34" t="b">
        <f t="shared" si="0"/>
        <v>0</v>
      </c>
      <c r="AF59" s="34" t="s">
        <v>141</v>
      </c>
      <c r="AG59" s="34" t="s">
        <v>142</v>
      </c>
      <c r="AI59" s="34"/>
    </row>
    <row r="60" spans="1:35" hidden="1" x14ac:dyDescent="0.25">
      <c r="A60" s="5">
        <v>5</v>
      </c>
      <c r="B60" s="5">
        <v>220</v>
      </c>
      <c r="C60" s="2" t="s">
        <v>60</v>
      </c>
      <c r="D60" s="1" t="s">
        <v>78</v>
      </c>
      <c r="E60" s="14" t="s">
        <v>73</v>
      </c>
      <c r="G60" s="38" t="s">
        <v>128</v>
      </c>
      <c r="H60" s="38" t="s">
        <v>129</v>
      </c>
      <c r="I60" s="38" t="s">
        <v>130</v>
      </c>
      <c r="X60" s="5">
        <f t="shared" si="2"/>
        <v>0</v>
      </c>
      <c r="Y60" s="5" t="b">
        <f t="shared" si="1"/>
        <v>0</v>
      </c>
      <c r="Z60" s="1" t="s">
        <v>95</v>
      </c>
      <c r="AA60" s="5" t="s">
        <v>96</v>
      </c>
      <c r="AC60" s="5">
        <v>300</v>
      </c>
      <c r="AD60" s="34">
        <f t="shared" si="3"/>
        <v>0</v>
      </c>
      <c r="AE60" s="34" t="b">
        <f t="shared" si="0"/>
        <v>0</v>
      </c>
      <c r="AF60" s="34" t="s">
        <v>143</v>
      </c>
      <c r="AG60" s="34" t="s">
        <v>144</v>
      </c>
      <c r="AI60" s="34"/>
    </row>
    <row r="61" spans="1:35" hidden="1" x14ac:dyDescent="0.25">
      <c r="C61" s="2"/>
      <c r="D61" s="5"/>
      <c r="X61" s="5">
        <f t="shared" si="2"/>
        <v>0</v>
      </c>
      <c r="Y61" s="5" t="b">
        <f t="shared" si="1"/>
        <v>0</v>
      </c>
      <c r="Z61" s="1" t="s">
        <v>89</v>
      </c>
      <c r="AA61" s="5" t="s">
        <v>90</v>
      </c>
      <c r="AC61" s="5">
        <v>325</v>
      </c>
      <c r="AD61" s="34">
        <f t="shared" si="3"/>
        <v>0</v>
      </c>
      <c r="AE61" s="34" t="b">
        <f t="shared" si="0"/>
        <v>0</v>
      </c>
      <c r="AF61" s="34" t="s">
        <v>145</v>
      </c>
      <c r="AG61" s="34" t="s">
        <v>146</v>
      </c>
      <c r="AI61" s="34"/>
    </row>
    <row r="62" spans="1:35" hidden="1" x14ac:dyDescent="0.25">
      <c r="C62" s="2"/>
      <c r="D62" s="5"/>
      <c r="X62" s="5">
        <f t="shared" si="2"/>
        <v>0</v>
      </c>
      <c r="Y62" s="5" t="b">
        <f t="shared" si="1"/>
        <v>0</v>
      </c>
      <c r="Z62" s="1" t="s">
        <v>91</v>
      </c>
      <c r="AA62" s="5" t="s">
        <v>92</v>
      </c>
      <c r="AC62" s="5">
        <v>350</v>
      </c>
      <c r="AD62" s="34">
        <f t="shared" si="3"/>
        <v>0</v>
      </c>
      <c r="AE62" s="34" t="b">
        <f t="shared" si="0"/>
        <v>0</v>
      </c>
      <c r="AF62" s="34" t="s">
        <v>147</v>
      </c>
      <c r="AG62" s="34" t="s">
        <v>148</v>
      </c>
      <c r="AI62" s="34"/>
    </row>
    <row r="63" spans="1:35" hidden="1" x14ac:dyDescent="0.25">
      <c r="C63" s="2"/>
      <c r="E63" s="14"/>
      <c r="X63" s="5">
        <f t="shared" si="2"/>
        <v>0</v>
      </c>
      <c r="Y63" s="5" t="b">
        <f t="shared" si="1"/>
        <v>0</v>
      </c>
      <c r="Z63" s="1" t="s">
        <v>93</v>
      </c>
      <c r="AA63" s="5" t="s">
        <v>94</v>
      </c>
      <c r="AC63" s="5">
        <v>375</v>
      </c>
      <c r="AD63" s="34">
        <f t="shared" si="3"/>
        <v>0</v>
      </c>
      <c r="AE63" s="34" t="b">
        <f t="shared" si="0"/>
        <v>0</v>
      </c>
      <c r="AF63" s="34" t="s">
        <v>149</v>
      </c>
      <c r="AG63" s="34" t="s">
        <v>150</v>
      </c>
      <c r="AI63" s="34"/>
    </row>
    <row r="64" spans="1:35" hidden="1" x14ac:dyDescent="0.25">
      <c r="C64" s="2"/>
      <c r="D64" s="5"/>
      <c r="E64" s="14"/>
      <c r="X64" s="5">
        <f t="shared" si="2"/>
        <v>0</v>
      </c>
      <c r="Y64" s="5" t="b">
        <f t="shared" si="1"/>
        <v>0</v>
      </c>
      <c r="Z64" s="28" t="s">
        <v>98</v>
      </c>
      <c r="AA64" s="5" t="s">
        <v>97</v>
      </c>
      <c r="AC64" s="5">
        <v>400</v>
      </c>
      <c r="AD64" s="34">
        <f t="shared" si="3"/>
        <v>0</v>
      </c>
      <c r="AE64" s="34" t="b">
        <f t="shared" si="0"/>
        <v>0</v>
      </c>
      <c r="AF64" s="34" t="s">
        <v>151</v>
      </c>
      <c r="AG64" s="34" t="s">
        <v>152</v>
      </c>
      <c r="AI64" s="34"/>
    </row>
    <row r="65" spans="3:35" hidden="1" x14ac:dyDescent="0.25">
      <c r="C65" s="2"/>
      <c r="D65" s="5"/>
      <c r="E65" s="14"/>
    </row>
    <row r="66" spans="3:35" hidden="1" x14ac:dyDescent="0.25">
      <c r="Z66" s="1"/>
    </row>
    <row r="67" spans="3:35" hidden="1" x14ac:dyDescent="0.25"/>
    <row r="68" spans="3:35" hidden="1" x14ac:dyDescent="0.25"/>
    <row r="69" spans="3:35" hidden="1" x14ac:dyDescent="0.25">
      <c r="Y69" s="5">
        <f>COUNTIFS(Y55:Y67,TRUE)</f>
        <v>1</v>
      </c>
      <c r="AD69" s="34"/>
      <c r="AE69" s="34">
        <f>COUNTIFS(AE55:AE67,TRUE)</f>
        <v>1</v>
      </c>
    </row>
    <row r="70" spans="3:35" hidden="1" x14ac:dyDescent="0.25">
      <c r="I70" s="5" t="s">
        <v>11</v>
      </c>
      <c r="Y70" s="5" t="s">
        <v>67</v>
      </c>
    </row>
    <row r="71" spans="3:35" hidden="1" x14ac:dyDescent="0.25"/>
    <row r="72" spans="3:35" hidden="1" x14ac:dyDescent="0.25">
      <c r="I72" s="5">
        <v>10</v>
      </c>
    </row>
    <row r="73" spans="3:35" hidden="1" x14ac:dyDescent="0.25">
      <c r="H73" s="5">
        <v>1</v>
      </c>
      <c r="I73" s="5">
        <v>20</v>
      </c>
    </row>
    <row r="74" spans="3:35" ht="15.75" hidden="1" x14ac:dyDescent="0.25">
      <c r="H74" s="5">
        <v>2</v>
      </c>
      <c r="I74" s="5">
        <v>30</v>
      </c>
      <c r="X74" s="15" t="s">
        <v>100</v>
      </c>
      <c r="Y74" s="16" t="str">
        <f>IF(X55=1,Z55,IF(X56=1,Z56,IF(X57=1,Z57,IF(X58=1,Z58,IF(X59=1,Z59,IF(X60=1,Z60,IF(X61=1,Z61,IF(X62=1,Z62,IF(X63=1,Z63,IF(X64=1,Z64,"-"))))))))))</f>
        <v>37437.0250</v>
      </c>
      <c r="AA74" s="16" t="str">
        <f>IF(X55=1,AA55,IF(X56=1,AA56,IF(X57=1,AA57,IF(X58=1,AA58,IF(X59=1,AA59,IF(X60=1,AA60,IF(X61=1,AA61,IF(X62=1,AA62,IF(X63=1,AA63,IF(X64=1,AA64," "))))))))))</f>
        <v>UNI-boorspouwanker 220x4   316</v>
      </c>
      <c r="AB74" s="16"/>
      <c r="AC74" s="16"/>
      <c r="AE74" s="16" t="str">
        <f>IF(AD55=1,AF55,IF(AD56=1,AF56,IF(AD57=1,AF57,IF(AD58=1,AF58,IF(AD59=1,AF59,IF(AD60=1,AF60,IF(AD61=1,AF61,IF(AD62=1,AF62,IF(AD63=1,AF63,IF(AD64=1,AF64,"-"))))))))))</f>
        <v>38107.0250</v>
      </c>
      <c r="AG74" s="16" t="str">
        <f>IF(AD55=1,AG55,IF(AD56=1,AG56,IF(AD57=1,AG57,IF(AD58=1,AG58,IF(AD59=1,AG59,IF(AD60=1,AG60,IF(AD61=1,AG61,IF(AD62=1,AG62,IF(AD63=1,AG63,IF(AD64=1,AG64," "))))))))))</f>
        <v>UNI-Lijmboorsp.anker 220x4 316</v>
      </c>
      <c r="AH74" s="16"/>
      <c r="AI74" s="16"/>
    </row>
    <row r="75" spans="3:35" ht="15.75" hidden="1" x14ac:dyDescent="0.25">
      <c r="H75" s="5">
        <v>3</v>
      </c>
      <c r="I75" s="5">
        <v>40</v>
      </c>
      <c r="X75" s="15"/>
      <c r="Y75" s="75" t="str">
        <f>IF(Y69=2,"of",IF(Y74="-","Voor deze maat is geen anker beschikbaar!"," "))</f>
        <v xml:space="preserve"> </v>
      </c>
      <c r="Z75" s="75"/>
      <c r="AA75" s="75"/>
      <c r="AB75" s="75"/>
      <c r="AC75" s="75"/>
      <c r="AE75" s="75" t="str">
        <f>IF(AE69=2,"of",IF(AE74="-","Voor deze maat is geen anker beschikbaar!"," "))</f>
        <v xml:space="preserve"> </v>
      </c>
      <c r="AF75" s="75"/>
      <c r="AG75" s="75"/>
      <c r="AH75" s="75"/>
      <c r="AI75" s="75"/>
    </row>
    <row r="76" spans="3:35" ht="15.75" hidden="1" x14ac:dyDescent="0.25">
      <c r="H76" s="5">
        <v>4</v>
      </c>
      <c r="I76" s="5">
        <v>50</v>
      </c>
      <c r="X76" s="16"/>
      <c r="Y76" s="16" t="str">
        <f>IF(X55=2,Z55,IF(X56=2,Z56,IF(X57=2,Z57,IF(X58=2,Z58,IF(X59=2,Z59,IF(X60=2,Z60,IF(X61=2,Z61,IF(X62=2,Z62,IF(X63=2,Z63,IF(X64=2,Z64," "))))))))))</f>
        <v xml:space="preserve"> </v>
      </c>
      <c r="AA76" s="16" t="str">
        <f>IF(X55=2,AA55,IF(X56=2,AA56,IF(X57=2,AA57,IF(X58=2,AA58,IF(X59=2,AA59,IF(X60=2,AA60,IF(X61=2,AA61,IF(X62=2,AA62,IF(X63=2,AA63,IF(X64=2,AA64," "))))))))))</f>
        <v xml:space="preserve"> </v>
      </c>
      <c r="AB76" s="16"/>
      <c r="AC76" s="16"/>
      <c r="AE76" s="16" t="str">
        <f>IF(AD55=2,AF55,IF(AD56=2,AF56,IF(AD57=2,AF57,IF(AD58=2,AF58,IF(AD59=2,AF59,IF(AD60=2,AF60,IF(AD61=2,AF61,IF(AD62=2,AF62,IF(AD63=2,AF63,IF(AD64=2,AF64," "))))))))))</f>
        <v xml:space="preserve"> </v>
      </c>
      <c r="AG76" s="16" t="str">
        <f>IF(AD55=2,AG55,IF(AD56=2,AG56,IF(AD57=2,AG57,IF(AD58=2,AG58,IF(AD59=2,AG59,IF(AD60=2,AG60,IF(AD61=2,AG61,IF(AD62=2,AG62,IF(AD63=2,AG63,IF(AD64=2,AG64," "))))))))))</f>
        <v xml:space="preserve"> </v>
      </c>
      <c r="AH76" s="16"/>
      <c r="AI76" s="16"/>
    </row>
    <row r="77" spans="3:35" hidden="1" x14ac:dyDescent="0.25">
      <c r="H77" s="5">
        <v>5</v>
      </c>
      <c r="I77" s="5">
        <v>60</v>
      </c>
    </row>
    <row r="78" spans="3:35" hidden="1" x14ac:dyDescent="0.25">
      <c r="H78" s="5">
        <v>6</v>
      </c>
      <c r="I78" s="5">
        <v>70</v>
      </c>
    </row>
    <row r="79" spans="3:35" hidden="1" x14ac:dyDescent="0.25">
      <c r="H79" s="5">
        <v>7</v>
      </c>
      <c r="I79" s="5">
        <v>80</v>
      </c>
    </row>
    <row r="80" spans="3:35" hidden="1" x14ac:dyDescent="0.25">
      <c r="H80" s="5">
        <v>8</v>
      </c>
      <c r="I80" s="5">
        <v>90</v>
      </c>
    </row>
    <row r="81" spans="8:9" hidden="1" x14ac:dyDescent="0.25">
      <c r="H81" s="5">
        <v>9</v>
      </c>
      <c r="I81" s="5">
        <v>100</v>
      </c>
    </row>
    <row r="82" spans="8:9" hidden="1" x14ac:dyDescent="0.25">
      <c r="H82" s="5">
        <v>10</v>
      </c>
      <c r="I82" s="5">
        <v>110</v>
      </c>
    </row>
    <row r="83" spans="8:9" hidden="1" x14ac:dyDescent="0.25">
      <c r="H83" s="5">
        <v>11</v>
      </c>
      <c r="I83" s="5">
        <v>120</v>
      </c>
    </row>
    <row r="84" spans="8:9" hidden="1" x14ac:dyDescent="0.25">
      <c r="H84" s="5">
        <v>12</v>
      </c>
      <c r="I84" s="5">
        <v>130</v>
      </c>
    </row>
    <row r="85" spans="8:9" hidden="1" x14ac:dyDescent="0.25">
      <c r="H85" s="5">
        <v>13</v>
      </c>
      <c r="I85" s="5">
        <v>140</v>
      </c>
    </row>
    <row r="86" spans="8:9" hidden="1" x14ac:dyDescent="0.25">
      <c r="H86" s="5">
        <v>14</v>
      </c>
      <c r="I86" s="5">
        <v>150</v>
      </c>
    </row>
    <row r="87" spans="8:9" hidden="1" x14ac:dyDescent="0.25">
      <c r="H87" s="5">
        <v>15</v>
      </c>
      <c r="I87" s="5">
        <v>160</v>
      </c>
    </row>
    <row r="88" spans="8:9" hidden="1" x14ac:dyDescent="0.25">
      <c r="H88" s="5">
        <v>16</v>
      </c>
      <c r="I88" s="5">
        <v>170</v>
      </c>
    </row>
    <row r="89" spans="8:9" hidden="1" x14ac:dyDescent="0.25">
      <c r="H89" s="5">
        <v>17</v>
      </c>
      <c r="I89" s="5">
        <v>180</v>
      </c>
    </row>
    <row r="90" spans="8:9" hidden="1" x14ac:dyDescent="0.25">
      <c r="H90" s="5">
        <v>18</v>
      </c>
      <c r="I90" s="5">
        <v>190</v>
      </c>
    </row>
    <row r="91" spans="8:9" hidden="1" x14ac:dyDescent="0.25">
      <c r="H91" s="5">
        <v>19</v>
      </c>
      <c r="I91" s="5">
        <v>200</v>
      </c>
    </row>
    <row r="92" spans="8:9" hidden="1" x14ac:dyDescent="0.25"/>
    <row r="93" spans="8:9" hidden="1" x14ac:dyDescent="0.25"/>
    <row r="94" spans="8:9" hidden="1" x14ac:dyDescent="0.25"/>
    <row r="95" spans="8:9" hidden="1" x14ac:dyDescent="0.25"/>
    <row r="96" spans="8:9" hidden="1" x14ac:dyDescent="0.25"/>
    <row r="97" hidden="1" x14ac:dyDescent="0.25"/>
    <row r="98" hidden="1" x14ac:dyDescent="0.25"/>
    <row r="99" hidden="1" x14ac:dyDescent="0.25"/>
    <row r="100" hidden="1" x14ac:dyDescent="0.25"/>
  </sheetData>
  <sheetProtection password="C565" sheet="1" objects="1" scenarios="1"/>
  <mergeCells count="15">
    <mergeCell ref="A1:AA1"/>
    <mergeCell ref="AE75:AI75"/>
    <mergeCell ref="A3:D3"/>
    <mergeCell ref="E3:H3"/>
    <mergeCell ref="I3:L3"/>
    <mergeCell ref="J12:K12"/>
    <mergeCell ref="P3:R3"/>
    <mergeCell ref="Y75:AC75"/>
    <mergeCell ref="S3:V3"/>
    <mergeCell ref="M3:O3"/>
    <mergeCell ref="M13:O15"/>
    <mergeCell ref="U12:AA12"/>
    <mergeCell ref="J8:J9"/>
    <mergeCell ref="K8:K9"/>
    <mergeCell ref="I4:L4"/>
  </mergeCells>
  <conditionalFormatting sqref="Y75:AC75">
    <cfRule type="cellIs" dxfId="3" priority="5" operator="equal">
      <formula>"Voor deze maat is geen anker beschikbaar!"</formula>
    </cfRule>
  </conditionalFormatting>
  <conditionalFormatting sqref="AE75:AI75">
    <cfRule type="cellIs" dxfId="2" priority="4" operator="equal">
      <formula>"Voor deze maat is geen anker beschikbaar!"</formula>
    </cfRule>
  </conditionalFormatting>
  <conditionalFormatting sqref="U12">
    <cfRule type="cellIs" dxfId="1" priority="2" operator="equal">
      <formula>"Voor deze maat is geen anker beschikbaar!"</formula>
    </cfRule>
  </conditionalFormatting>
  <conditionalFormatting sqref="U12:AA12">
    <cfRule type="expression" dxfId="0" priority="1">
      <formula>$Z$50=0</formula>
    </cfRule>
  </conditionalFormatting>
  <pageMargins left="0.70866141732283472" right="0.70866141732283472" top="0.74803149606299213" bottom="0.74803149606299213" header="0.31496062992125984" footer="0.31496062992125984"/>
  <pageSetup paperSize="8" scale="75"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7</xdr:row>
                    <xdr:rowOff>9525</xdr:rowOff>
                  </from>
                  <to>
                    <xdr:col>2</xdr:col>
                    <xdr:colOff>600075</xdr:colOff>
                    <xdr:row>8</xdr:row>
                    <xdr:rowOff>123825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0</xdr:colOff>
                    <xdr:row>6</xdr:row>
                    <xdr:rowOff>200025</xdr:rowOff>
                  </from>
                  <to>
                    <xdr:col>6</xdr:col>
                    <xdr:colOff>590550</xdr:colOff>
                    <xdr:row>8</xdr:row>
                    <xdr:rowOff>114300</xdr:rowOff>
                  </to>
                </anchor>
              </controlPr>
            </control>
          </mc:Choice>
        </mc:AlternateContent>
        <mc:AlternateContent xmlns:mc="http://schemas.openxmlformats.org/markup-compatibility/2006">
          <mc:Choice Requires="x14">
            <control shapeId="3075" r:id="rId6" name="Button 3">
              <controlPr defaultSize="0" print="0" autoFill="0" autoPict="0" macro="[0]!terug">
                <anchor moveWithCells="1" sizeWithCells="1">
                  <from>
                    <xdr:col>21</xdr:col>
                    <xdr:colOff>0</xdr:colOff>
                    <xdr:row>20</xdr:row>
                    <xdr:rowOff>9525</xdr:rowOff>
                  </from>
                  <to>
                    <xdr:col>23</xdr:col>
                    <xdr:colOff>9525</xdr:colOff>
                    <xdr:row>22</xdr:row>
                    <xdr:rowOff>104775</xdr:rowOff>
                  </to>
                </anchor>
              </controlPr>
            </control>
          </mc:Choice>
        </mc:AlternateContent>
        <mc:AlternateContent xmlns:mc="http://schemas.openxmlformats.org/markup-compatibility/2006">
          <mc:Choice Requires="x14">
            <control shapeId="3076" r:id="rId7" name="Option Button 4">
              <controlPr locked="0" defaultSize="0" autoFill="0" autoLine="0" autoPict="0">
                <anchor moveWithCells="1">
                  <from>
                    <xdr:col>12</xdr:col>
                    <xdr:colOff>333375</xdr:colOff>
                    <xdr:row>4</xdr:row>
                    <xdr:rowOff>76200</xdr:rowOff>
                  </from>
                  <to>
                    <xdr:col>14</xdr:col>
                    <xdr:colOff>457200</xdr:colOff>
                    <xdr:row>7</xdr:row>
                    <xdr:rowOff>19050</xdr:rowOff>
                  </to>
                </anchor>
              </controlPr>
            </control>
          </mc:Choice>
        </mc:AlternateContent>
        <mc:AlternateContent xmlns:mc="http://schemas.openxmlformats.org/markup-compatibility/2006">
          <mc:Choice Requires="x14">
            <control shapeId="3077" r:id="rId8" name="Option Button 5">
              <controlPr locked="0" defaultSize="0" autoFill="0" autoLine="0" autoPict="0">
                <anchor moveWithCells="1">
                  <from>
                    <xdr:col>12</xdr:col>
                    <xdr:colOff>333375</xdr:colOff>
                    <xdr:row>7</xdr:row>
                    <xdr:rowOff>180975</xdr:rowOff>
                  </from>
                  <to>
                    <xdr:col>14</xdr:col>
                    <xdr:colOff>561975</xdr:colOff>
                    <xdr:row>9</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keuze</vt:lpstr>
      <vt:lpstr>Flex</vt:lpstr>
      <vt:lpstr>Perfo</vt:lpstr>
      <vt:lpstr>Flex!Afdrukbereik</vt:lpstr>
      <vt:lpstr>keuze!Afdrukbereik</vt:lpstr>
      <vt:lpstr>Perfo!Afdrukbereik</vt:lpstr>
    </vt:vector>
  </TitlesOfParts>
  <Company>Gebr. Bodegraven BV.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Flexplug en Spouwanker berekening</dc:title>
  <dc:creator>H. van Vliet</dc:creator>
  <cp:lastModifiedBy>H. van Vliet</cp:lastModifiedBy>
  <cp:lastPrinted>2015-05-06T12:55:51Z</cp:lastPrinted>
  <dcterms:created xsi:type="dcterms:W3CDTF">2014-12-15T08:38:23Z</dcterms:created>
  <dcterms:modified xsi:type="dcterms:W3CDTF">2016-09-13T11:35:19Z</dcterms:modified>
</cp:coreProperties>
</file>